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2Hb+LFTEUm86+d7+8aKyx50tu00bo64ibCKaH96XCOSDX8fkW7iHmjJVEGXhF8Nhq/R9AOA1bpz3XvKgGXQMOA==" workbookSaltValue="UwUQxTtTuMA3q/K6l/tE8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L19" i="8" s="1"/>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AG19" i="8"/>
  <c r="E18" i="12"/>
  <c r="ER19" i="8"/>
  <c r="AE13" i="21"/>
  <c r="EL19" i="8"/>
  <c r="BE12" i="21"/>
  <c r="EQ19" i="8"/>
  <c r="EN19" i="8"/>
  <c r="E15" i="3"/>
  <c r="BA13" i="16"/>
  <c r="E17" i="3"/>
  <c r="F16" i="10"/>
  <c r="ES19" i="8"/>
  <c r="G18" i="12"/>
  <c r="C18" i="7"/>
  <c r="R19" i="8"/>
  <c r="EP19" i="8"/>
  <c r="EP19" i="19"/>
  <c r="S13" i="16"/>
  <c r="P13" i="16"/>
  <c r="W13" i="20"/>
  <c r="AO12" i="11"/>
  <c r="F13" i="7"/>
  <c r="T13" i="16"/>
  <c r="BG15" i="8"/>
  <c r="BD9" i="8"/>
  <c r="I19" i="8"/>
  <c r="AP13" i="16"/>
  <c r="F11" i="11"/>
  <c r="AQ11" i="11" s="1"/>
  <c r="T18" i="17"/>
  <c r="BF15" i="13"/>
  <c r="BE16" i="13"/>
  <c r="BF16" i="13"/>
  <c r="AK20" i="20"/>
  <c r="T20" i="20"/>
  <c r="O16" i="11"/>
  <c r="Z20" i="20"/>
  <c r="H20" i="20"/>
  <c r="G18" i="14"/>
  <c r="AL19" i="8" l="1"/>
  <c r="E10" i="6"/>
  <c r="B13" i="7"/>
  <c r="AY13" i="8"/>
  <c r="AJ19" i="8"/>
  <c r="C13" i="7"/>
  <c r="BE9" i="8"/>
  <c r="L11" i="14"/>
  <c r="AC10" i="11"/>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I15" i="7" s="1"/>
  <c r="BD16" i="8"/>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AJ20" i="20"/>
  <c r="AF20" i="20"/>
  <c r="G13" i="14"/>
  <c r="AA20" i="20"/>
  <c r="L20" i="20"/>
  <c r="J20" i="20"/>
  <c r="U12" i="11"/>
  <c r="W20" i="21"/>
  <c r="U16" i="11"/>
  <c r="AX20" i="20"/>
  <c r="Y20" i="20"/>
  <c r="O10" i="11"/>
  <c r="AM20" i="20"/>
  <c r="Q20" i="20"/>
  <c r="AB20" i="20"/>
  <c r="AI20" i="20"/>
  <c r="AZ20" i="20"/>
  <c r="AV20" i="20"/>
  <c r="AU20" i="20"/>
  <c r="M20" i="20"/>
  <c r="AQ20" i="21"/>
  <c r="AP20" i="20"/>
  <c r="AH20" i="20"/>
  <c r="N20" i="20"/>
  <c r="AD20" i="20"/>
  <c r="AE20" i="20"/>
  <c r="AG20" i="20"/>
  <c r="O20" i="20"/>
  <c r="X20" i="20"/>
  <c r="E20" i="20"/>
  <c r="W20" i="20"/>
  <c r="F20" i="20"/>
  <c r="K20" i="20"/>
  <c r="P20" i="20"/>
  <c r="S20" i="20"/>
  <c r="I20" i="20"/>
  <c r="T20" i="21"/>
  <c r="I15" i="12" l="1"/>
  <c r="I9" i="12"/>
  <c r="BF18" i="13"/>
  <c r="AO17" i="17"/>
  <c r="S16" i="17"/>
  <c r="S11" i="17"/>
  <c r="AA9" i="16"/>
  <c r="X16" i="17"/>
  <c r="R16" i="14"/>
  <c r="S10" i="14"/>
  <c r="V10" i="14" s="1"/>
  <c r="L15" i="2"/>
  <c r="V9" i="16"/>
  <c r="U10" i="21"/>
  <c r="AB21"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L20" i="21"/>
  <c r="V20" i="16"/>
  <c r="AS20" i="21"/>
  <c r="BH20" i="16"/>
  <c r="AW20" i="21"/>
  <c r="AO20" i="17"/>
  <c r="B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Y20" i="11"/>
  <c r="BD20" i="16"/>
  <c r="AV20" i="17"/>
  <c r="AH20" i="21"/>
  <c r="E20" i="16"/>
  <c r="AR20" i="11"/>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<sst xmlns="http://schemas.openxmlformats.org/spreadsheetml/2006/main" count="2080" uniqueCount="913">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</sst>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sPZUzDfPNJi9idEyTxCRN79p0SBSfC4wYdAtWSVPYREaGx+Pm5FSFPtVQBP/gx7eBZ34YqGDFSq8yjXg0txyw==" saltValue="97rd1EZlB1ipvx+fgFW9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26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23.528913672036349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6</v>
      </c>
      <c r="B10" s="502" t="str">
        <f>Datos!A10</f>
        <v>Jdos. Violencia contra la mujer</v>
      </c>
      <c r="C10" s="225">
        <f t="shared" si="0"/>
        <v>328</v>
      </c>
      <c r="D10" s="225">
        <f>IF(ISNUMBER(Datos!I10),Datos!I10," - ")</f>
        <v>328</v>
      </c>
      <c r="E10" s="226">
        <f>IF(ISNUMBER(Datos!J10),Datos!J10," - ")</f>
        <v>189</v>
      </c>
      <c r="F10" s="226">
        <f>IF(ISNUMBER(Datos!K10),Datos!K10," - ")</f>
        <v>197</v>
      </c>
      <c r="G10" s="1034" t="str">
        <f>IF(Datos!E10&lt;&gt;"",Datos!E10,Datos!D10)</f>
        <v>37</v>
      </c>
      <c r="H10" s="227">
        <f>IF(ISNUMBER(Datos!L10),Datos!L10," - ")</f>
        <v>320</v>
      </c>
      <c r="I10" s="1044" t="str">
        <f>IF(ISNUMBER(Datos!AS10/Datos!BM10),Datos!AS10/Datos!BM10," - ")</f>
        <v xml:space="preserve"> - </v>
      </c>
      <c r="J10" s="1045">
        <f>IF(ISNUMBER(Datos!BY10/Datos!CN10),Datos!BY10/Datos!CN10," - ")</f>
        <v>0</v>
      </c>
      <c r="K10" s="230">
        <f t="shared" ref="K10:K12" si="1">IF(ISNUMBER((E10-F10)/C10),(E10-F10)/C10," - ")</f>
        <v>-2.4390243902439025E-2</v>
      </c>
      <c r="L10" s="1025">
        <f>IF(ISNUMBER(NºAsuntos!I10/NºAsuntos!G10),(NºAsuntos!I10/NºAsuntos!G10)*11," - ")</f>
        <v>17.868020304568528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13.515659140568101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328</v>
      </c>
      <c r="D13" s="1049">
        <f>SUBTOTAL(9,D9:D12)</f>
        <v>328</v>
      </c>
      <c r="E13" s="1050">
        <f>SUBTOTAL(9,E9:E12)</f>
        <v>189</v>
      </c>
      <c r="F13" s="1051">
        <f>SUBTOTAL(9,F9:F12)</f>
        <v>197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21</v>
      </c>
      <c r="B15" s="502" t="str">
        <f>Datos!A15</f>
        <v xml:space="preserve">Jdos. Instrucción                               </v>
      </c>
      <c r="C15" s="225">
        <f t="shared" ref="C15:C17" si="2">IF(ISNUMBER(H15-E15+F15),H15-E15+F15," - ")</f>
        <v>11080</v>
      </c>
      <c r="D15" s="225">
        <f>IF(ISNUMBER(IF(D_I="SI",Datos!I15,Datos!I15+Datos!AC15)),IF(D_I="SI",Datos!I15,Datos!I15+Datos!AC15)," - ")</f>
        <v>10938</v>
      </c>
      <c r="E15" s="226">
        <f>IF(ISNUMBER(IF(D_I="SI",Datos!J15,Datos!J15+Datos!AD15)),IF(D_I="SI",Datos!J15,Datos!J15+Datos!AD15)," - ")</f>
        <v>15407</v>
      </c>
      <c r="F15" s="226">
        <f>IF(ISNUMBER(IF(D_I="SI",Datos!K15,Datos!K15+Datos!AE15)),IF(D_I="SI",Datos!K15,Datos!K15+Datos!AE15)," - ")</f>
        <v>15546</v>
      </c>
      <c r="G15" s="1034" t="str">
        <f>IF(Datos!E15&lt;&gt;"",Datos!E15,Datos!D15)</f>
        <v>03</v>
      </c>
      <c r="H15" s="227">
        <f>IF(ISNUMBER(IF(D_I="SI",Datos!L15,Datos!L15+Datos!AF15)),IF(D_I="SI",Datos!L15,Datos!L15+Datos!AF15)," - ")</f>
        <v>10941</v>
      </c>
      <c r="I15" s="1044" t="str">
        <f>IF(ISNUMBER(Datos!AS15/Datos!BM15),Datos!AS15/Datos!BM15," - ")</f>
        <v xml:space="preserve"> - </v>
      </c>
      <c r="J15" s="1045">
        <f>IF(ISNUMBER(Datos!BY15/Datos!CN15),Datos!BY15/Datos!CN15," - ")</f>
        <v>0</v>
      </c>
      <c r="K15" s="230">
        <f t="shared" ref="K15:K17" si="3">IF(ISNUMBER((E15-F15)/C15),(E15-F15)/C15," - ")</f>
        <v>-1.2545126353790613E-2</v>
      </c>
      <c r="L15" s="1025">
        <f>IF(ISNUMBER(NºAsuntos!I15/NºAsuntos!G15),(NºAsuntos!I15/NºAsuntos!G15)*11," - ")</f>
        <v>7.7416055576997289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6</v>
      </c>
      <c r="B17" s="502" t="str">
        <f>Datos!A17</f>
        <v>Jdos. Violencia contra la mujer</v>
      </c>
      <c r="C17" s="225">
        <f t="shared" si="2"/>
        <v>1585</v>
      </c>
      <c r="D17" s="225">
        <f>IF(ISNUMBER(IF(D_I="SI",Datos!I17,Datos!I17+Datos!AC17)),IF(D_I="SI",Datos!I17,Datos!I17+Datos!AC17)," - ")</f>
        <v>1505</v>
      </c>
      <c r="E17" s="226">
        <f>IF(ISNUMBER(IF(D_I="SI",Datos!J17,Datos!J17+Datos!AD17)),IF(D_I="SI",Datos!J17,Datos!J17+Datos!AD17)," - ")</f>
        <v>1916</v>
      </c>
      <c r="F17" s="226">
        <f>IF(ISNUMBER(IF(D_I="SI",Datos!K17,Datos!K17+Datos!AE17)),IF(D_I="SI",Datos!K17,Datos!K17+Datos!AE17)," - ")</f>
        <v>2036</v>
      </c>
      <c r="G17" s="1034" t="str">
        <f>IF(Datos!E17&lt;&gt;"",Datos!E17,Datos!D17)</f>
        <v>37</v>
      </c>
      <c r="H17" s="227">
        <f>IF(ISNUMBER(IF(D_I="SI",Datos!L17,Datos!L17+Datos!AF17)),IF(D_I="SI",Datos!L17,Datos!L17+Datos!AF17)," - ")</f>
        <v>1465</v>
      </c>
      <c r="I17" s="1044" t="str">
        <f>IF(ISNUMBER(Datos!AS17/Datos!BM17),Datos!AS17/Datos!BM17," - ")</f>
        <v xml:space="preserve"> - </v>
      </c>
      <c r="J17" s="1045" t="str">
        <f>IF(ISNUMBER((Datos!BY17+Datos!BZ17)/Datos!CN17),(Datos!BY17+Datos!BZ17)/Datos!CN17," - ")</f>
        <v xml:space="preserve"> - </v>
      </c>
      <c r="K17" s="230">
        <f t="shared" si="3"/>
        <v>-7.5709779179810727E-2</v>
      </c>
      <c r="L17" s="1025">
        <f>IF(ISNUMBER(NºAsuntos!I17/NºAsuntos!G17),(NºAsuntos!I17/NºAsuntos!G17)*11," - ")</f>
        <v>7.9150294695481342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12665</v>
      </c>
      <c r="D18" s="1049">
        <f>SUBTOTAL(9,D15:D17)</f>
        <v>12443</v>
      </c>
      <c r="E18" s="1050">
        <f>SUBTOTAL(9,E15:E17)</f>
        <v>17323</v>
      </c>
      <c r="F18" s="1050">
        <f>SUBTOTAL(9,F15:F17)</f>
        <v>17582</v>
      </c>
      <c r="G18" s="1052" t="str">
        <f ca="1">INDIRECT(CONCATENATE("G",ROW()-1))</f>
        <v>37</v>
      </c>
      <c r="H18" s="1053">
        <f ca="1">SUMIF(G$14:G17,G18,H$14:H17)</f>
        <v>1465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12993</v>
      </c>
      <c r="D19" s="1071">
        <f>SUBTOTAL(9,D9:D18)</f>
        <v>12771</v>
      </c>
      <c r="E19" s="1072">
        <f>SUBTOTAL(9,E9:E18)</f>
        <v>17512</v>
      </c>
      <c r="F19" s="1072">
        <f>SUBTOTAL(9,F9:F18)</f>
        <v>17779</v>
      </c>
      <c r="G19" s="1073"/>
      <c r="H19" s="1074">
        <f ca="1">SUMIF(B9:B18,"TOTAL",H9:H18)</f>
        <v>1465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3Pxag/JVhOdvK4NKOYHdIWb/rMzWljBQEXqwHdBrC2OEDq+4mjFQO7iEQPZ6CELBTzsp/96G8Yg/wfH+pFBF7w==" saltValue="EoPo/E0FnP92IxF+F6Zj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vCEq6qC578jS4bXKnqPnDnko0Uue9w1Te3bSzMDmCiILrXYV+nkgdCOm8EuviGhl0IEXXk+9YWawVnECo4e7g==" saltValue="oP9wNEBLBjJsW0cCxM9V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24593</v>
      </c>
      <c r="J9" s="181">
        <v>18524</v>
      </c>
      <c r="K9" s="181">
        <v>13310</v>
      </c>
      <c r="L9" s="181">
        <v>30105</v>
      </c>
      <c r="M9" s="181">
        <v>3387</v>
      </c>
      <c r="N9" s="181">
        <v>7030</v>
      </c>
      <c r="O9" s="181">
        <v>5787</v>
      </c>
      <c r="P9" s="181">
        <v>2416</v>
      </c>
      <c r="Q9" s="181">
        <v>3291</v>
      </c>
      <c r="R9" s="181">
        <v>28796</v>
      </c>
      <c r="S9" s="181">
        <v>23696</v>
      </c>
      <c r="T9" s="181">
        <v>12936</v>
      </c>
      <c r="U9" s="181">
        <v>13187</v>
      </c>
      <c r="V9" s="181">
        <v>23487</v>
      </c>
      <c r="W9" s="181">
        <v>2763</v>
      </c>
      <c r="X9" s="188">
        <v>7130</v>
      </c>
      <c r="Y9" s="191">
        <v>850</v>
      </c>
      <c r="Z9" s="181">
        <v>1332</v>
      </c>
      <c r="AA9" s="181">
        <v>1216</v>
      </c>
      <c r="AB9" s="181">
        <v>966</v>
      </c>
      <c r="AC9" s="181">
        <v>0</v>
      </c>
      <c r="AD9" s="181">
        <v>0</v>
      </c>
      <c r="AE9" s="181">
        <v>0</v>
      </c>
      <c r="AF9" s="188">
        <v>0</v>
      </c>
      <c r="AG9" s="191">
        <v>910</v>
      </c>
      <c r="AH9" s="181">
        <v>1264</v>
      </c>
      <c r="AI9" s="181">
        <v>1198</v>
      </c>
      <c r="AJ9" s="192">
        <v>976</v>
      </c>
      <c r="AK9" s="180">
        <v>0</v>
      </c>
      <c r="AL9" s="181">
        <v>0</v>
      </c>
      <c r="AM9" s="181">
        <v>0</v>
      </c>
      <c r="AN9" s="188">
        <v>0</v>
      </c>
      <c r="AO9" s="258">
        <v>26</v>
      </c>
      <c r="AP9" s="154">
        <v>26</v>
      </c>
      <c r="AQ9" s="154">
        <v>26</v>
      </c>
      <c r="AR9" s="193">
        <v>26</v>
      </c>
      <c r="AS9" s="338" t="s">
        <v>799</v>
      </c>
      <c r="AT9" s="195"/>
      <c r="AU9" s="194"/>
      <c r="AV9" s="195"/>
      <c r="AW9" s="194"/>
      <c r="AX9" s="195"/>
      <c r="AY9" s="123">
        <f>IF(ISNUMBER(IF(J_V="SI",S9,S9+AG9)),IF(J_V="SI",S9,S9+AG9)," - ")</f>
        <v>24606</v>
      </c>
      <c r="AZ9" s="123">
        <f>IF(ISNUMBER(IF(J_V="SI",T9,T9+AH9)),IF(J_V="SI",T9,T9+AH9)," - ")</f>
        <v>14200</v>
      </c>
      <c r="BA9" s="124">
        <f>IF(ISNUMBER(IF(J_V="SI",U9,U9+AI9)),IF(J_V="SI",U9,U9+AI9)," - ")</f>
        <v>14385</v>
      </c>
      <c r="BB9" s="124">
        <f>IF(ISNUMBER(IF(J_V="SI",V9,V9+AJ9)),IF(J_V="SI",V9,V9+AJ9)," - ")</f>
        <v>24463</v>
      </c>
      <c r="BC9" s="125">
        <f>IF(ISNUMBER(X9),X9," - ")</f>
        <v>7130</v>
      </c>
      <c r="BD9" s="126">
        <f>IF(ISNUMBER(BA9/AZ9),BA9/AZ9," - ")</f>
        <v>1.0130281690140845</v>
      </c>
      <c r="BE9" s="127">
        <f>IF(ISNUMBER(BB9/BA9),BB9/BA9, " - ")</f>
        <v>1.7005908932916232</v>
      </c>
      <c r="BF9" s="127">
        <f>IF(ISNUMBER(BC9/BA9),BC9/BA9, " - ")</f>
        <v>0.4956551963851234</v>
      </c>
      <c r="BG9" s="196">
        <f>IF(ISNUMBER((AY9+AZ9)/BA9),(AY9+AZ9)/BA9," - ")</f>
        <v>2.697671185262426</v>
      </c>
      <c r="BH9" s="154">
        <v>26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328</v>
      </c>
      <c r="J10" s="181">
        <v>189</v>
      </c>
      <c r="K10" s="181">
        <v>197</v>
      </c>
      <c r="L10" s="181">
        <v>320</v>
      </c>
      <c r="M10" s="181">
        <v>83</v>
      </c>
      <c r="N10" s="181">
        <v>88</v>
      </c>
      <c r="O10" s="181">
        <v>55</v>
      </c>
      <c r="P10" s="181">
        <v>39</v>
      </c>
      <c r="Q10" s="181">
        <v>82</v>
      </c>
      <c r="R10" s="181">
        <v>257</v>
      </c>
      <c r="S10" s="181">
        <v>274</v>
      </c>
      <c r="T10" s="181">
        <v>179</v>
      </c>
      <c r="U10" s="181">
        <v>167</v>
      </c>
      <c r="V10" s="181">
        <v>262</v>
      </c>
      <c r="W10" s="181">
        <v>51</v>
      </c>
      <c r="X10" s="188">
        <v>86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6</v>
      </c>
      <c r="AP10" s="155">
        <v>6</v>
      </c>
      <c r="AQ10" s="154">
        <v>6</v>
      </c>
      <c r="AR10" s="155">
        <v>6</v>
      </c>
      <c r="AS10" s="339" t="s">
        <v>793</v>
      </c>
      <c r="AT10" s="192"/>
      <c r="AU10" s="200"/>
      <c r="AV10" s="192"/>
      <c r="AW10" s="200"/>
      <c r="AX10" s="192"/>
      <c r="AY10" s="128">
        <f t="shared" ref="AY10:BC10" si="0">IF(ISNUMBER(S10),S10," - ")</f>
        <v>274</v>
      </c>
      <c r="AZ10" s="129">
        <f t="shared" si="0"/>
        <v>179</v>
      </c>
      <c r="BA10" s="129">
        <f t="shared" si="0"/>
        <v>167</v>
      </c>
      <c r="BB10" s="129">
        <f t="shared" si="0"/>
        <v>262</v>
      </c>
      <c r="BC10" s="125">
        <f t="shared" si="0"/>
        <v>51</v>
      </c>
      <c r="BD10" s="126">
        <f>IF(ISNUMBER(BA10/AZ10),BA10/AZ10," - ")</f>
        <v>0.93296089385474856</v>
      </c>
      <c r="BE10" s="127">
        <f>IF(ISNUMBER(BB10/BA10),BB10/BA10, " - ")</f>
        <v>1.5688622754491017</v>
      </c>
      <c r="BF10" s="127">
        <f>IF(ISNUMBER(BC10/BA10),BC10/BA10, " - ")</f>
        <v>0.30538922155688625</v>
      </c>
      <c r="BG10" s="196">
        <f>IF(ISNUMBER((AY10+AZ10)/BA10),(AY10+AZ10)/BA10," - ")</f>
        <v>2.7125748502994012</v>
      </c>
      <c r="BH10" s="155">
        <v>5</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1595</v>
      </c>
      <c r="J11" s="183">
        <v>1175</v>
      </c>
      <c r="K11" s="183">
        <v>1248</v>
      </c>
      <c r="L11" s="183">
        <v>1522</v>
      </c>
      <c r="M11" s="183">
        <v>598</v>
      </c>
      <c r="N11" s="183">
        <v>479</v>
      </c>
      <c r="O11" s="181">
        <v>437</v>
      </c>
      <c r="P11" s="183">
        <v>139</v>
      </c>
      <c r="Q11" s="183">
        <v>181</v>
      </c>
      <c r="R11" s="183">
        <v>1609</v>
      </c>
      <c r="S11" s="183">
        <v>1721</v>
      </c>
      <c r="T11" s="183">
        <v>1323</v>
      </c>
      <c r="U11" s="183">
        <v>1248</v>
      </c>
      <c r="V11" s="183">
        <v>1708</v>
      </c>
      <c r="W11" s="183">
        <v>593</v>
      </c>
      <c r="X11" s="189">
        <v>433</v>
      </c>
      <c r="Y11" s="191">
        <v>170</v>
      </c>
      <c r="Z11" s="181">
        <v>120</v>
      </c>
      <c r="AA11" s="181">
        <v>125</v>
      </c>
      <c r="AB11" s="181">
        <v>165</v>
      </c>
      <c r="AC11" s="183">
        <v>0</v>
      </c>
      <c r="AD11" s="183">
        <v>0</v>
      </c>
      <c r="AE11" s="183">
        <v>0</v>
      </c>
      <c r="AF11" s="189">
        <v>0</v>
      </c>
      <c r="AG11" s="202">
        <v>221</v>
      </c>
      <c r="AH11" s="183">
        <v>100</v>
      </c>
      <c r="AI11" s="183">
        <v>109</v>
      </c>
      <c r="AJ11" s="203">
        <v>180</v>
      </c>
      <c r="AK11" s="182">
        <v>0</v>
      </c>
      <c r="AL11" s="183">
        <v>0</v>
      </c>
      <c r="AM11" s="183">
        <v>0</v>
      </c>
      <c r="AN11" s="189">
        <v>0</v>
      </c>
      <c r="AO11" s="259">
        <v>4</v>
      </c>
      <c r="AP11" s="155">
        <v>4</v>
      </c>
      <c r="AQ11" s="155">
        <v>4</v>
      </c>
      <c r="AR11" s="154">
        <v>4</v>
      </c>
      <c r="AS11" s="340" t="s">
        <v>801</v>
      </c>
      <c r="AT11" s="203"/>
      <c r="AU11" s="202"/>
      <c r="AV11" s="203"/>
      <c r="AW11" s="202"/>
      <c r="AX11" s="203"/>
      <c r="AY11" s="126">
        <f t="shared" ref="AY11:BB12" si="1">IF(ISNUMBER(IF(J_V="SI",S11,S11+AG11)),IF(J_V="SI",S11,S11+AG11)," - ")</f>
        <v>1942</v>
      </c>
      <c r="AZ11" s="127">
        <f t="shared" si="1"/>
        <v>1423</v>
      </c>
      <c r="BA11" s="127">
        <f t="shared" si="1"/>
        <v>1357</v>
      </c>
      <c r="BB11" s="127">
        <f t="shared" si="1"/>
        <v>1888</v>
      </c>
      <c r="BC11" s="125">
        <f>IF(ISNUMBER(X11),X11," - ")</f>
        <v>433</v>
      </c>
      <c r="BD11" s="126">
        <f t="shared" ref="BD11:BD12" si="2">IF(ISNUMBER(BA11/AZ11),BA11/AZ11," - ")</f>
        <v>0.95361911454673221</v>
      </c>
      <c r="BE11" s="127">
        <f t="shared" ref="BE11:BE12" si="3">IF(ISNUMBER(BB11/BA11),BB11/BA11, " - ")</f>
        <v>1.3913043478260869</v>
      </c>
      <c r="BF11" s="127">
        <f t="shared" ref="BF11:BF12" si="4">IF(ISNUMBER(BC11/BA11),BC11/BA11, " - ")</f>
        <v>0.31908621960206335</v>
      </c>
      <c r="BG11" s="196">
        <f t="shared" ref="BG11:BG12" si="5">IF(ISNUMBER((AY11+AZ11)/BA11),(AY11+AZ11)/BA11," - ")</f>
        <v>2.4797347089167281</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26516</v>
      </c>
      <c r="J13" s="184">
        <f t="shared" si="6"/>
        <v>19888</v>
      </c>
      <c r="K13" s="184">
        <f t="shared" si="6"/>
        <v>14755</v>
      </c>
      <c r="L13" s="184">
        <f t="shared" si="6"/>
        <v>31947</v>
      </c>
      <c r="M13" s="184">
        <f t="shared" si="6"/>
        <v>4068</v>
      </c>
      <c r="N13" s="184">
        <f t="shared" si="6"/>
        <v>7597</v>
      </c>
      <c r="O13" s="184">
        <f t="shared" si="6"/>
        <v>6279</v>
      </c>
      <c r="P13" s="184">
        <f t="shared" si="6"/>
        <v>2594</v>
      </c>
      <c r="Q13" s="184">
        <f t="shared" si="6"/>
        <v>3554</v>
      </c>
      <c r="R13" s="184">
        <f t="shared" si="6"/>
        <v>30662</v>
      </c>
      <c r="S13" s="184">
        <f t="shared" si="6"/>
        <v>25691</v>
      </c>
      <c r="T13" s="184">
        <f t="shared" si="6"/>
        <v>14438</v>
      </c>
      <c r="U13" s="184">
        <f t="shared" si="6"/>
        <v>14602</v>
      </c>
      <c r="V13" s="184">
        <f t="shared" si="6"/>
        <v>25457</v>
      </c>
      <c r="W13" s="184">
        <f t="shared" si="6"/>
        <v>3407</v>
      </c>
      <c r="X13" s="184">
        <f t="shared" si="6"/>
        <v>7649</v>
      </c>
      <c r="Y13" s="184">
        <f t="shared" si="6"/>
        <v>1020</v>
      </c>
      <c r="Z13" s="184">
        <f t="shared" si="6"/>
        <v>1452</v>
      </c>
      <c r="AA13" s="184">
        <f t="shared" si="6"/>
        <v>1341</v>
      </c>
      <c r="AB13" s="184">
        <f t="shared" si="6"/>
        <v>1131</v>
      </c>
      <c r="AC13" s="184">
        <f t="shared" si="6"/>
        <v>0</v>
      </c>
      <c r="AD13" s="184">
        <f t="shared" si="6"/>
        <v>0</v>
      </c>
      <c r="AE13" s="184">
        <f t="shared" si="6"/>
        <v>0</v>
      </c>
      <c r="AF13" s="184">
        <f>SUBTOTAL(9,AF9:AF12)</f>
        <v>0</v>
      </c>
      <c r="AG13" s="184">
        <f t="shared" ref="AG13:AT13" si="7">SUBTOTAL(9,AG8:AG12)</f>
        <v>1131</v>
      </c>
      <c r="AH13" s="184">
        <f t="shared" si="7"/>
        <v>1364</v>
      </c>
      <c r="AI13" s="184">
        <f t="shared" si="7"/>
        <v>1307</v>
      </c>
      <c r="AJ13" s="184">
        <f t="shared" si="7"/>
        <v>1156</v>
      </c>
      <c r="AK13" s="184">
        <f t="shared" si="7"/>
        <v>0</v>
      </c>
      <c r="AL13" s="184">
        <f t="shared" si="7"/>
        <v>0</v>
      </c>
      <c r="AM13" s="184">
        <f t="shared" si="7"/>
        <v>0</v>
      </c>
      <c r="AN13" s="184">
        <f t="shared" si="7"/>
        <v>0</v>
      </c>
      <c r="AO13" s="184">
        <f t="shared" si="7"/>
        <v>36</v>
      </c>
      <c r="AP13" s="184">
        <f t="shared" si="7"/>
        <v>36</v>
      </c>
      <c r="AQ13" s="184">
        <f t="shared" si="7"/>
        <v>36</v>
      </c>
      <c r="AR13" s="184">
        <f t="shared" si="7"/>
        <v>36</v>
      </c>
      <c r="AS13" s="184">
        <f t="shared" si="7"/>
        <v>0</v>
      </c>
      <c r="AT13" s="184">
        <f t="shared" si="7"/>
        <v>0</v>
      </c>
      <c r="AU13" s="204"/>
      <c r="AV13" s="132"/>
      <c r="AW13" s="204"/>
      <c r="AX13" s="132"/>
      <c r="AY13" s="184">
        <f>SUBTOTAL(9,AY8:AY12)</f>
        <v>26822</v>
      </c>
      <c r="AZ13" s="184">
        <f>SUBTOTAL(9,AZ8:AZ12)</f>
        <v>15802</v>
      </c>
      <c r="BA13" s="184">
        <f>SUBTOTAL(9,BA8:BA12)</f>
        <v>15909</v>
      </c>
      <c r="BB13" s="184">
        <f>SUBTOTAL(9,BB8:BB12)</f>
        <v>26613</v>
      </c>
      <c r="BC13" s="184">
        <f>SUBTOTAL(9,BC8:BC12)</f>
        <v>7614</v>
      </c>
      <c r="BD13" s="205">
        <f>IF(ISNUMBER(BA13/AZ13),BA13/AZ13," - ")</f>
        <v>1.0067712947728136</v>
      </c>
      <c r="BE13" s="206">
        <f>IF(ISNUMBER(BB13/BA13),BB13/BA13, " - ")</f>
        <v>1.6728267018668679</v>
      </c>
      <c r="BF13" s="206">
        <f>IF(ISNUMBER(BC13/BA13),BC13/BA13, " - ")</f>
        <v>0.47859702055440317</v>
      </c>
      <c r="BG13" s="207">
        <f>IF(ISNUMBER((AY13+AZ13)/BA13),(AY13+AZ13)/BA13," - ")</f>
        <v>2.6792381670752405</v>
      </c>
      <c r="BH13" s="140">
        <f>SUBTOTAL(9,BH8:BH12)</f>
        <v>35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10938</v>
      </c>
      <c r="J15" s="183">
        <v>15407</v>
      </c>
      <c r="K15" s="183">
        <v>15546</v>
      </c>
      <c r="L15" s="183">
        <v>10941</v>
      </c>
      <c r="M15" s="183">
        <v>2202</v>
      </c>
      <c r="N15" s="183">
        <v>9129</v>
      </c>
      <c r="O15" s="181">
        <v>382</v>
      </c>
      <c r="P15" s="183">
        <v>961</v>
      </c>
      <c r="Q15" s="183">
        <v>894</v>
      </c>
      <c r="R15" s="183">
        <v>1808</v>
      </c>
      <c r="S15" s="183">
        <v>8857</v>
      </c>
      <c r="T15" s="183">
        <v>12947</v>
      </c>
      <c r="U15" s="183">
        <v>12987</v>
      </c>
      <c r="V15" s="183">
        <v>9148</v>
      </c>
      <c r="W15" s="183">
        <v>1932</v>
      </c>
      <c r="X15" s="189">
        <v>7375</v>
      </c>
      <c r="Y15" s="202">
        <v>0</v>
      </c>
      <c r="Z15" s="183">
        <v>0</v>
      </c>
      <c r="AA15" s="183">
        <v>0</v>
      </c>
      <c r="AB15" s="183">
        <v>0</v>
      </c>
      <c r="AC15" s="183">
        <v>1</v>
      </c>
      <c r="AD15" s="183">
        <v>81</v>
      </c>
      <c r="AE15" s="183">
        <v>77</v>
      </c>
      <c r="AF15" s="189">
        <v>5</v>
      </c>
      <c r="AG15" s="202">
        <v>0</v>
      </c>
      <c r="AH15" s="183">
        <v>0</v>
      </c>
      <c r="AI15" s="183">
        <v>0</v>
      </c>
      <c r="AJ15" s="203">
        <v>0</v>
      </c>
      <c r="AK15" s="182">
        <v>7</v>
      </c>
      <c r="AL15" s="183">
        <v>52</v>
      </c>
      <c r="AM15" s="183">
        <v>52</v>
      </c>
      <c r="AN15" s="189">
        <v>7</v>
      </c>
      <c r="AO15" s="259">
        <v>21</v>
      </c>
      <c r="AP15" s="155">
        <v>21</v>
      </c>
      <c r="AQ15" s="155">
        <v>21</v>
      </c>
      <c r="AR15" s="155">
        <v>21</v>
      </c>
      <c r="AS15" s="340" t="s">
        <v>527</v>
      </c>
      <c r="AT15" s="203" t="s">
        <v>326</v>
      </c>
      <c r="AU15" s="202"/>
      <c r="AV15" s="203"/>
      <c r="AW15" s="202"/>
      <c r="AX15" s="203"/>
      <c r="AY15" s="128">
        <f t="shared" ref="AY15:BB16" si="9">IF(ISNUMBER(IF(D_I="SI",S15,S15+AK15)),IF(D_I="SI",S15,S15+AK15)," - ")</f>
        <v>8857</v>
      </c>
      <c r="AZ15" s="129">
        <f t="shared" si="9"/>
        <v>12947</v>
      </c>
      <c r="BA15" s="129">
        <f t="shared" si="9"/>
        <v>12987</v>
      </c>
      <c r="BB15" s="129">
        <f t="shared" si="9"/>
        <v>9148</v>
      </c>
      <c r="BC15" s="125">
        <f>IF(ISNUMBER(W15),W15," - ")</f>
        <v>1932</v>
      </c>
      <c r="BD15" s="126">
        <f>IF(ISNUMBER(BA15/AZ15),BA15/AZ15," - ")</f>
        <v>1.0030895188074458</v>
      </c>
      <c r="BE15" s="127">
        <f>IF(ISNUMBER(BB15/BA15),BB15/BA15, " - ")</f>
        <v>0.70439670439670443</v>
      </c>
      <c r="BF15" s="127">
        <f>IF(ISNUMBER(BC15/BA15),BC15/BA15, " - ")</f>
        <v>0.14876414876414876</v>
      </c>
      <c r="BG15" s="196">
        <f t="shared" ref="BG15:BG16" si="10">IF(ISNUMBER((AY15+AZ15)/BA15),(AY15+AZ15)/BA15," - ")</f>
        <v>1.6789096789096789</v>
      </c>
      <c r="BH15" s="155">
        <v>21</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1505</v>
      </c>
      <c r="J17" s="183">
        <v>1916</v>
      </c>
      <c r="K17" s="183">
        <v>2036</v>
      </c>
      <c r="L17" s="183">
        <v>1465</v>
      </c>
      <c r="M17" s="183">
        <v>134</v>
      </c>
      <c r="N17" s="183">
        <v>1299</v>
      </c>
      <c r="O17" s="183">
        <v>23</v>
      </c>
      <c r="P17" s="183">
        <v>44</v>
      </c>
      <c r="Q17" s="183">
        <v>37</v>
      </c>
      <c r="R17" s="183">
        <v>53</v>
      </c>
      <c r="S17" s="183">
        <v>1369</v>
      </c>
      <c r="T17" s="183">
        <v>1993</v>
      </c>
      <c r="U17" s="183">
        <v>1938</v>
      </c>
      <c r="V17" s="183">
        <v>1424</v>
      </c>
      <c r="W17" s="183">
        <v>99</v>
      </c>
      <c r="X17" s="189">
        <v>1260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6</v>
      </c>
      <c r="AP17" s="155">
        <v>6</v>
      </c>
      <c r="AQ17" s="154">
        <v>6</v>
      </c>
      <c r="AR17" s="155">
        <v>6</v>
      </c>
      <c r="AS17" s="339" t="s">
        <v>792</v>
      </c>
      <c r="AT17" s="209"/>
      <c r="AU17" s="200"/>
      <c r="AV17" s="209"/>
      <c r="AW17" s="200"/>
      <c r="AX17" s="209"/>
      <c r="AY17" s="128">
        <f t="shared" ref="AY17:BB17" si="14">IF(ISNUMBER(S17),S17," - ")</f>
        <v>1369</v>
      </c>
      <c r="AZ17" s="129">
        <f t="shared" si="14"/>
        <v>1993</v>
      </c>
      <c r="BA17" s="129">
        <f t="shared" si="14"/>
        <v>1938</v>
      </c>
      <c r="BB17" s="129">
        <f t="shared" si="14"/>
        <v>1424</v>
      </c>
      <c r="BC17" s="125">
        <f>IF(ISNUMBER(W17),W17," - ")</f>
        <v>99</v>
      </c>
      <c r="BD17" s="126">
        <f>IF(ISNUMBER(BA17/AZ17),BA17/AZ17," - ")</f>
        <v>0.97240341194179625</v>
      </c>
      <c r="BE17" s="127">
        <f>IF(ISNUMBER(BB17/BA17),BB17/BA17, " - ")</f>
        <v>0.73477812177502577</v>
      </c>
      <c r="BF17" s="127">
        <f>IF(ISNUMBER(BC17/BA17),BC17/BA17, " - ")</f>
        <v>5.108359133126935E-2</v>
      </c>
      <c r="BG17" s="196">
        <f>IF(ISNUMBER((AY17+AZ17)/BA17),(AY17+AZ17)/BA17," - ")</f>
        <v>1.7347781217750258</v>
      </c>
      <c r="BH17" s="155">
        <v>5</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12443</v>
      </c>
      <c r="J18" s="184">
        <f t="shared" si="15"/>
        <v>17323</v>
      </c>
      <c r="K18" s="184">
        <f t="shared" si="15"/>
        <v>17582</v>
      </c>
      <c r="L18" s="184">
        <f t="shared" si="15"/>
        <v>12406</v>
      </c>
      <c r="M18" s="184">
        <f t="shared" si="15"/>
        <v>2336</v>
      </c>
      <c r="N18" s="184">
        <f t="shared" si="15"/>
        <v>10428</v>
      </c>
      <c r="O18" s="184">
        <f t="shared" si="15"/>
        <v>405</v>
      </c>
      <c r="P18" s="184">
        <f t="shared" si="15"/>
        <v>1005</v>
      </c>
      <c r="Q18" s="184">
        <f t="shared" si="15"/>
        <v>931</v>
      </c>
      <c r="R18" s="184">
        <f t="shared" si="15"/>
        <v>1861</v>
      </c>
      <c r="S18" s="184">
        <f t="shared" si="15"/>
        <v>10226</v>
      </c>
      <c r="T18" s="184">
        <f t="shared" si="15"/>
        <v>14940</v>
      </c>
      <c r="U18" s="184">
        <f t="shared" si="15"/>
        <v>14925</v>
      </c>
      <c r="V18" s="184">
        <f t="shared" si="15"/>
        <v>10572</v>
      </c>
      <c r="W18" s="184">
        <f t="shared" si="15"/>
        <v>2031</v>
      </c>
      <c r="X18" s="184">
        <f t="shared" si="15"/>
        <v>8635</v>
      </c>
      <c r="Y18" s="184">
        <f t="shared" si="15"/>
        <v>0</v>
      </c>
      <c r="Z18" s="184">
        <f t="shared" si="15"/>
        <v>0</v>
      </c>
      <c r="AA18" s="184">
        <f t="shared" si="15"/>
        <v>0</v>
      </c>
      <c r="AB18" s="184">
        <f t="shared" si="15"/>
        <v>0</v>
      </c>
      <c r="AC18" s="184">
        <f t="shared" si="15"/>
        <v>1</v>
      </c>
      <c r="AD18" s="184">
        <f t="shared" si="15"/>
        <v>81</v>
      </c>
      <c r="AE18" s="184">
        <f t="shared" si="15"/>
        <v>77</v>
      </c>
      <c r="AF18" s="184">
        <f t="shared" si="15"/>
        <v>5</v>
      </c>
      <c r="AG18" s="184">
        <f t="shared" si="15"/>
        <v>0</v>
      </c>
      <c r="AH18" s="184">
        <f t="shared" si="15"/>
        <v>0</v>
      </c>
      <c r="AI18" s="184">
        <f t="shared" si="15"/>
        <v>0</v>
      </c>
      <c r="AJ18" s="184">
        <f t="shared" si="15"/>
        <v>0</v>
      </c>
      <c r="AK18" s="184">
        <f t="shared" si="15"/>
        <v>7</v>
      </c>
      <c r="AL18" s="184">
        <f t="shared" si="15"/>
        <v>52</v>
      </c>
      <c r="AM18" s="184">
        <f t="shared" si="15"/>
        <v>52</v>
      </c>
      <c r="AN18" s="184">
        <f t="shared" si="15"/>
        <v>7</v>
      </c>
      <c r="AO18" s="184">
        <f t="shared" si="15"/>
        <v>27</v>
      </c>
      <c r="AP18" s="184">
        <f t="shared" si="15"/>
        <v>27</v>
      </c>
      <c r="AQ18" s="184">
        <f t="shared" si="15"/>
        <v>27</v>
      </c>
      <c r="AR18" s="184">
        <f t="shared" si="15"/>
        <v>27</v>
      </c>
      <c r="AS18" s="184">
        <f t="shared" si="15"/>
        <v>0</v>
      </c>
      <c r="AT18" s="184">
        <f t="shared" si="15"/>
        <v>0</v>
      </c>
      <c r="AU18" s="204"/>
      <c r="AV18" s="132"/>
      <c r="AW18" s="204"/>
      <c r="AX18" s="132"/>
      <c r="AY18" s="184">
        <f>SUBTOTAL(9,AY14:AY17)</f>
        <v>10226</v>
      </c>
      <c r="AZ18" s="184">
        <f>SUBTOTAL(9,AZ14:AZ17)</f>
        <v>14940</v>
      </c>
      <c r="BA18" s="184">
        <f>SUBTOTAL(9,BA14:BA17)</f>
        <v>14925</v>
      </c>
      <c r="BB18" s="184">
        <f>SUBTOTAL(9,BB14:BB17)</f>
        <v>10572</v>
      </c>
      <c r="BC18" s="184">
        <f>SUBTOTAL(9,BC14:BC17)</f>
        <v>2031</v>
      </c>
      <c r="BD18" s="205">
        <f>IF(ISNUMBER(BA18/AZ18),BA18/AZ18," - ")</f>
        <v>0.99899598393574296</v>
      </c>
      <c r="BE18" s="206">
        <f>IF(ISNUMBER(BB18/BA18),BB18/BA18, " - ")</f>
        <v>0.70834170854271361</v>
      </c>
      <c r="BF18" s="206">
        <f>IF(ISNUMBER(BC18/BA18),BC18/BA18, " - ")</f>
        <v>0.13608040201005026</v>
      </c>
      <c r="BG18" s="207">
        <f>IF(ISNUMBER((AY18+AZ18)/BA18),(AY18+AZ18)/BA18," - ")</f>
        <v>1.6861641541038526</v>
      </c>
      <c r="BH18" s="184">
        <f>SUBTOTAL(9,BH14:BH17)</f>
        <v>26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38959</v>
      </c>
      <c r="J19" s="134">
        <f t="shared" si="18"/>
        <v>37211</v>
      </c>
      <c r="K19" s="134">
        <f t="shared" si="18"/>
        <v>32337</v>
      </c>
      <c r="L19" s="134">
        <f t="shared" si="18"/>
        <v>44353</v>
      </c>
      <c r="M19" s="134">
        <f t="shared" si="18"/>
        <v>6404</v>
      </c>
      <c r="N19" s="134">
        <f t="shared" si="18"/>
        <v>18025</v>
      </c>
      <c r="O19" s="134">
        <f t="shared" si="18"/>
        <v>6684</v>
      </c>
      <c r="P19" s="134">
        <f t="shared" si="18"/>
        <v>3599</v>
      </c>
      <c r="Q19" s="134">
        <f t="shared" si="18"/>
        <v>4485</v>
      </c>
      <c r="R19" s="134">
        <f t="shared" si="18"/>
        <v>32523</v>
      </c>
      <c r="S19" s="134">
        <f t="shared" si="18"/>
        <v>35917</v>
      </c>
      <c r="T19" s="134">
        <f t="shared" si="18"/>
        <v>29378</v>
      </c>
      <c r="U19" s="134">
        <f t="shared" si="18"/>
        <v>29527</v>
      </c>
      <c r="V19" s="134">
        <f t="shared" si="18"/>
        <v>36029</v>
      </c>
      <c r="W19" s="134">
        <f t="shared" si="18"/>
        <v>5438</v>
      </c>
      <c r="X19" s="134">
        <f t="shared" si="18"/>
        <v>16284</v>
      </c>
      <c r="Y19" s="134">
        <f t="shared" si="18"/>
        <v>1020</v>
      </c>
      <c r="Z19" s="134">
        <f t="shared" si="18"/>
        <v>1452</v>
      </c>
      <c r="AA19" s="134">
        <f t="shared" si="18"/>
        <v>1341</v>
      </c>
      <c r="AB19" s="134">
        <f t="shared" si="18"/>
        <v>1131</v>
      </c>
      <c r="AC19" s="134">
        <f t="shared" si="18"/>
        <v>1</v>
      </c>
      <c r="AD19" s="134">
        <f t="shared" si="18"/>
        <v>81</v>
      </c>
      <c r="AE19" s="134">
        <f t="shared" si="18"/>
        <v>77</v>
      </c>
      <c r="AF19" s="134">
        <f t="shared" si="18"/>
        <v>5</v>
      </c>
      <c r="AG19" s="134">
        <f t="shared" si="18"/>
        <v>1131</v>
      </c>
      <c r="AH19" s="134">
        <f t="shared" si="18"/>
        <v>1364</v>
      </c>
      <c r="AI19" s="134">
        <f t="shared" si="18"/>
        <v>1307</v>
      </c>
      <c r="AJ19" s="134">
        <f t="shared" si="18"/>
        <v>1156</v>
      </c>
      <c r="AK19" s="134">
        <f t="shared" si="18"/>
        <v>7</v>
      </c>
      <c r="AL19" s="134">
        <f t="shared" si="18"/>
        <v>52</v>
      </c>
      <c r="AM19" s="134">
        <f t="shared" si="18"/>
        <v>52</v>
      </c>
      <c r="AN19" s="210">
        <f t="shared" si="18"/>
        <v>7</v>
      </c>
      <c r="AO19" s="211">
        <v>57</v>
      </c>
      <c r="AP19" s="211">
        <v>57</v>
      </c>
      <c r="AQ19" s="211">
        <v>57</v>
      </c>
      <c r="AR19" s="211">
        <v>57</v>
      </c>
      <c r="AS19" s="153">
        <f t="shared" si="18"/>
        <v>0</v>
      </c>
      <c r="AT19" s="153">
        <f t="shared" si="18"/>
        <v>0</v>
      </c>
      <c r="AU19" s="211"/>
      <c r="AV19" s="212"/>
      <c r="AW19" s="211"/>
      <c r="AX19" s="212"/>
      <c r="AY19" s="133">
        <f>SUBTOTAL(9,AY9:AY18)</f>
        <v>37048</v>
      </c>
      <c r="AZ19" s="134">
        <f>SUBTOTAL(9,AZ9:AZ18)</f>
        <v>30742</v>
      </c>
      <c r="BA19" s="134">
        <f>SUBTOTAL(9,BA9:BA18)</f>
        <v>30834</v>
      </c>
      <c r="BB19" s="134">
        <f>SUBTOTAL(9,BB9:BB18)</f>
        <v>37185</v>
      </c>
      <c r="BC19" s="135">
        <f>SUBTOTAL(9,BC9:BC18)</f>
        <v>9645</v>
      </c>
      <c r="BD19" s="213">
        <f>IF(ISNUMBER(BA19/AZ19),BA19/AZ19," - ")</f>
        <v>1.0029926484939171</v>
      </c>
      <c r="BE19" s="210">
        <f>IF(ISNUMBER(BB19/BA19),BB19/BA19, " - ")</f>
        <v>1.2059739248881105</v>
      </c>
      <c r="BF19" s="210">
        <f>IF(ISNUMBER(BC19/BA19),BC19/BA19, " - ")</f>
        <v>0.31280404748005447</v>
      </c>
      <c r="BG19" s="135">
        <f>IF(ISNUMBER((AY19+AZ19)/BA19),(AY19+AZ19)/BA19," - ")</f>
        <v>2.1985470584419797</v>
      </c>
      <c r="BH19" s="211">
        <f>SUBTOTAL(9,BH9:BH18)</f>
        <v>61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a1KRih6KZEAOImv1mAwcCGqlFOSny1qvzPFnmy0B6j5Z5cr76J/X3oadolsBwUKPdaIyf+3j70MOKvGluRMgQ==" saltValue="2KKU6NQc8npCw5fI4AcU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2MJRzQevkEKzjcMO5iyHJfRkkSGpV72f/iEEetoOP5Mk//1PccEH260vLFlKjY4vFzxMUi2udiEtOUIxDZVUw==" saltValue="vHhSaO4RKQGfDHhf6ynQ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VALENCIA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26</v>
      </c>
      <c r="B9" s="501" t="s">
        <v>246</v>
      </c>
      <c r="C9" s="160" t="str">
        <f>Datos!A9</f>
        <v xml:space="preserve">Jdos. 1ª Instancia   </v>
      </c>
      <c r="D9" s="502"/>
      <c r="E9" s="260">
        <f>IF(ISNUMBER(Datos!AQ9),Datos!AQ9," - ")</f>
        <v>26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1332</v>
      </c>
      <c r="O9" s="334"/>
      <c r="P9" s="334"/>
      <c r="Q9" s="226">
        <f>IF(ISNUMBER(Datos!P9),Datos!P9,0)</f>
        <v>2416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3291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966</v>
      </c>
      <c r="AI9" s="334" t="str">
        <f>IF(ISNUMBER(Datos!CD9),Datos!CD9,"-")</f>
        <v>-</v>
      </c>
      <c r="AJ9" s="334" t="str">
        <f>IF(ISNUMBER(Datos!EN9),Datos!EN9," - ")</f>
        <v xml:space="preserve"> - </v>
      </c>
      <c r="AK9" s="334"/>
      <c r="AL9" s="479"/>
      <c r="AM9" s="335">
        <f>IF(ISNUMBER(Datos!R9),Datos!R9," - ")</f>
        <v>28796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3387</v>
      </c>
      <c r="BD9" s="229">
        <f>IF(ISNUMBER(Datos!N9),Datos!N9," - ")</f>
        <v>7030</v>
      </c>
      <c r="BE9" s="229" t="str">
        <f>IF(ISNUMBER(Datos!BW9),Datos!BW9," - ")</f>
        <v xml:space="preserve"> - </v>
      </c>
      <c r="BF9" s="228" t="str">
        <f>IF(ISNUMBER(Datos!BX9),Datos!BX9," - ")</f>
        <v xml:space="preserve"> - </v>
      </c>
      <c r="BG9" s="243">
        <f>IF(ISNUMBER(IF(J_V="SI",Datos!K9/Datos!J9,(Datos!K9+Datos!AA9)/(Datos!J9+Datos!Z9))),IF(J_V="SI",Datos!K9/Datos!J9,(Datos!K9+Datos!AA9)/(Datos!J9+Datos!Z9))," - ")</f>
        <v>0.73156728444802577</v>
      </c>
      <c r="BH9" s="260">
        <f>IF(ISNUMBER(((IF(J_V="SI",Datos!L9/Datos!K9,(Datos!L9+Datos!AB9)/(Datos!K9+Datos!AA9)))*11)/factor_trimestre),((IF(J_V="SI",Datos!L9/Datos!K9,(Datos!L9+Datos!AB9)/(Datos!K9+Datos!AA9)))*11)/factor_trimestre," - ")</f>
        <v>6.4169764560099134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-2.949007448350241E-2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6</v>
      </c>
      <c r="B10" s="507" t="s">
        <v>246</v>
      </c>
      <c r="C10" s="7" t="str">
        <f>Datos!A10</f>
        <v>Jdos. Violencia contra la mujer</v>
      </c>
      <c r="D10" s="508"/>
      <c r="E10" s="260">
        <f>IF(ISNUMBER(Datos!AQ10),Datos!AQ10," - ")</f>
        <v>6</v>
      </c>
      <c r="F10" s="225">
        <f>IF(ISNUMBER(Datos!L10+Datos!K10-Datos!J10),Datos!L10+Datos!K10-Datos!J10," - ")</f>
        <v>328</v>
      </c>
      <c r="G10" s="333">
        <f>IF(ISNUMBER(Datos!I10),Datos!I10," - ")</f>
        <v>328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197</v>
      </c>
      <c r="AC10" s="226">
        <f>IF(ISNUMBER(Datos!Q10),Datos!Q10," - ")</f>
        <v>82</v>
      </c>
      <c r="AD10" s="334"/>
      <c r="AE10" s="484"/>
      <c r="AF10" s="332">
        <f>IF(ISNUMBER(Datos!L10),Datos!L10,"-")</f>
        <v>320</v>
      </c>
      <c r="AG10" s="334"/>
      <c r="AH10" s="334"/>
      <c r="AI10" s="334"/>
      <c r="AJ10" s="334"/>
      <c r="AK10" s="334"/>
      <c r="AL10" s="479"/>
      <c r="AM10" s="335">
        <f>IF(ISNUMBER(Datos!R10),Datos!R10," - ")</f>
        <v>257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83</v>
      </c>
      <c r="BD10" s="229">
        <f>IF(ISNUMBER(Datos!N10),Datos!N10," - ")</f>
        <v>88</v>
      </c>
      <c r="BE10" s="229" t="str">
        <f>IF(ISNUMBER(Datos!BW10),Datos!BW10," - ")</f>
        <v xml:space="preserve"> - </v>
      </c>
      <c r="BF10" s="228" t="str">
        <f>IF(ISNUMBER(Datos!BX10),Datos!BX10," - ")</f>
        <v xml:space="preserve"> - </v>
      </c>
      <c r="BG10" s="243">
        <f>IF(ISNUMBER(Datos!K10/Datos!J10),Datos!K10/Datos!J10," - ")</f>
        <v>1.0423280423280423</v>
      </c>
      <c r="BH10" s="260">
        <f>IF(ISNUMBER(((Datos!L10/Datos!K10)*11)/factor_trimestre),((Datos!L10/Datos!K10)*11)/factor_trimestre," - ")</f>
        <v>4.873096446700508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-0.14333333333333334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120</v>
      </c>
      <c r="O11" s="334"/>
      <c r="P11" s="334"/>
      <c r="Q11" s="226">
        <f>IF(ISNUMBER(Datos!P11),Datos!P11,0)</f>
        <v>139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181</v>
      </c>
      <c r="AD11" s="334"/>
      <c r="AE11" s="484"/>
      <c r="AF11" s="332" t="str">
        <f>IF(ISNUMBER(IF(J_V="SI",Datos!L11,Datos!L11+Datos!AB11)-IF(Monitorios="SI",Datos!CD11,0)),
                          IF(J_V="SI",Datos!L11,Datos!L11+Datos!AB11)-IF(Monitorios="SI",Datos!CD11,0),
                          " - ")</f>
        <v xml:space="preserve"> - </v>
      </c>
      <c r="AG11" s="334"/>
      <c r="AH11" s="334">
        <f>IF(ISNUMBER(Datos!AB11),Datos!AB11,"-")</f>
        <v>165</v>
      </c>
      <c r="AI11" s="334"/>
      <c r="AJ11" s="334"/>
      <c r="AK11" s="334"/>
      <c r="AL11" s="479"/>
      <c r="AM11" s="335">
        <f>IF(ISNUMBER(Datos!R11),Datos!R11," - ")</f>
        <v>1609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598</v>
      </c>
      <c r="BD11" s="229">
        <f>IF(ISNUMBER(Datos!N11),Datos!N11," - ")</f>
        <v>479</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1.0602316602316602</v>
      </c>
      <c r="BH11" s="260">
        <f>IF(ISNUMBER(((IF(J_V="SI",Datos!L11/Datos!K11,(Datos!L11+Datos!AB11)/(Datos!K11+Datos!AA11)))*11)/factor_trimestre),((IF(J_V="SI",Datos!L11/Datos!K11,(Datos!L11+Datos!AB11)/(Datos!K11+Datos!AA11)))*11)/factor_trimestre," - ")</f>
        <v>3.6860888565185732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-2.5439127801332527E-2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36</v>
      </c>
      <c r="F13" s="898">
        <f t="shared" si="0"/>
        <v>328</v>
      </c>
      <c r="G13" s="898">
        <f t="shared" si="0"/>
        <v>328</v>
      </c>
      <c r="H13" s="899">
        <f t="shared" si="0"/>
        <v>0</v>
      </c>
      <c r="I13" s="898">
        <f t="shared" si="0"/>
        <v>0</v>
      </c>
      <c r="J13" s="867">
        <f t="shared" si="0"/>
        <v>0</v>
      </c>
      <c r="K13" s="867">
        <f t="shared" si="0"/>
        <v>0</v>
      </c>
      <c r="L13" s="899">
        <f t="shared" si="0"/>
        <v>0</v>
      </c>
      <c r="M13" s="899">
        <f t="shared" si="0"/>
        <v>0</v>
      </c>
      <c r="N13" s="899">
        <f t="shared" si="0"/>
        <v>1452</v>
      </c>
      <c r="O13" s="900">
        <f t="shared" si="0"/>
        <v>0</v>
      </c>
      <c r="P13" s="900">
        <f t="shared" si="0"/>
        <v>0</v>
      </c>
      <c r="Q13" s="899">
        <f t="shared" si="0"/>
        <v>2594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197</v>
      </c>
      <c r="AC13" s="899">
        <f t="shared" si="1"/>
        <v>3554</v>
      </c>
      <c r="AD13" s="899">
        <f t="shared" si="1"/>
        <v>0</v>
      </c>
      <c r="AE13" s="899">
        <f t="shared" si="1"/>
        <v>0</v>
      </c>
      <c r="AF13" s="899">
        <f t="shared" si="1"/>
        <v>320</v>
      </c>
      <c r="AG13" s="899">
        <f t="shared" si="1"/>
        <v>0</v>
      </c>
      <c r="AH13" s="899">
        <f t="shared" si="1"/>
        <v>1131</v>
      </c>
      <c r="AI13" s="899">
        <f t="shared" si="1"/>
        <v>0</v>
      </c>
      <c r="AJ13" s="899">
        <f t="shared" si="1"/>
        <v>0</v>
      </c>
      <c r="AK13" s="899">
        <f t="shared" si="1"/>
        <v>0</v>
      </c>
      <c r="AL13" s="899">
        <f t="shared" si="1"/>
        <v>0</v>
      </c>
      <c r="AM13" s="899">
        <f t="shared" si="1"/>
        <v>30662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4068</v>
      </c>
      <c r="BD13" s="899">
        <f t="shared" si="1"/>
        <v>7597</v>
      </c>
      <c r="BE13" s="899">
        <f t="shared" si="1"/>
        <v>0</v>
      </c>
      <c r="BF13" s="899">
        <f t="shared" si="1"/>
        <v>0</v>
      </c>
      <c r="BG13" s="899">
        <f>IF(ISNUMBER(Datos!K13/Datos!J13),Datos!K13/Datos!J13," - ")</f>
        <v>0.74190466613032979</v>
      </c>
      <c r="BH13" s="903">
        <f>IF(ISNUMBER(((Datos!L13/Datos!K13)*11)/factor_trimestre),((Datos!L13/Datos!K13)*11)/factor_trimestre," - ")</f>
        <v>6.4954930532023054</v>
      </c>
      <c r="BI13" s="899">
        <f>IF(ISNUMBER('Resol  Asuntos'!D13/NºAsuntos!G13),'Resol  Asuntos'!D13/NºAsuntos!G13," - ")</f>
        <v>0.25273359840954274</v>
      </c>
      <c r="BJ13" s="899" t="str">
        <f>IF(ISNUMBER(Datos!CI13/Datos!CJ13),Datos!CI13/Datos!CJ13," - ")</f>
        <v xml:space="preserve"> - </v>
      </c>
      <c r="BK13" s="899">
        <f>SUBTOTAL(9,BK8:BK12)</f>
        <v>0</v>
      </c>
      <c r="BL13" s="899">
        <f>IF(ISNUMBER((I13-AB13+L13)/(F13)),(I13-AB13+L13)/(F13)," - ")</f>
        <v>-0.60060975609756095</v>
      </c>
      <c r="BM13" s="904">
        <f>SUBTOTAL(9,BM9:BM12)</f>
        <v>-0.19826253561816828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21</v>
      </c>
      <c r="B15" s="594" t="s">
        <v>396</v>
      </c>
      <c r="C15" s="600" t="str">
        <f>Datos!A15</f>
        <v xml:space="preserve">Jdos. Instrucción                               </v>
      </c>
      <c r="D15" s="601"/>
      <c r="E15" s="1165">
        <f>IF(ISNUMBER(Datos!AQ15),Datos!AQ15," - ")</f>
        <v>21</v>
      </c>
      <c r="F15" s="595">
        <f>IF(ISNUMBER(AF15+AB15-Datos!J15-L15),AF15+AB15-Datos!J15-L15," - ")</f>
        <v>11080</v>
      </c>
      <c r="G15" s="598">
        <f>IF(ISNUMBER(IF(D_I="SI",Datos!I15,Datos!I15+Datos!AC15)),IF(D_I="SI",Datos!I15,Datos!I15+Datos!AC15)," - ")</f>
        <v>10938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961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15546</v>
      </c>
      <c r="AC15" s="226">
        <f>IF(ISNUMBER(Datos!Q15),Datos!Q15," - ")</f>
        <v>894</v>
      </c>
      <c r="AD15" s="334"/>
      <c r="AE15" s="484"/>
      <c r="AF15" s="596">
        <f>IF(ISNUMBER(IF(D_I="SI",Datos!L15,Datos!L15+Datos!AF15)),IF(D_I="SI",Datos!L15,Datos!L15+Datos!AF15)," - ")</f>
        <v>10941</v>
      </c>
      <c r="AG15" s="334"/>
      <c r="AH15" s="334"/>
      <c r="AI15" s="334"/>
      <c r="AJ15" s="334"/>
      <c r="AK15" s="334"/>
      <c r="AL15" s="479"/>
      <c r="AM15" s="335">
        <f>IF(ISNUMBER(Datos!R15),Datos!R15," - ")</f>
        <v>1808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2202</v>
      </c>
      <c r="BD15" s="229">
        <f>IF(ISNUMBER(Datos!N15),Datos!N15," - ")</f>
        <v>9129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1.0090218731745311</v>
      </c>
      <c r="BH15" s="260">
        <f>IF(ISNUMBER(((IF(D_I="SI",Datos!L15/Datos!K15,(Datos!L15+Datos!AF15)/(Datos!K15+Datos!AE15)))*11)/factor_trimestre),((IF(D_I="SI",Datos!L15/Datos!K15,(Datos!L15+Datos!AF15)/(Datos!K15+Datos!AE15)))*11)/factor_trimestre," - ")</f>
        <v>2.1113469702817445</v>
      </c>
      <c r="BI15" s="243">
        <f>IF(ISNUMBER('Resol  Asuntos'!D15/NºAsuntos!G15),'Resol  Asuntos'!D15/NºAsuntos!G15," - ")</f>
        <v>0.14164415283674256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6</v>
      </c>
      <c r="B17" s="507" t="s">
        <v>396</v>
      </c>
      <c r="C17" s="7" t="str">
        <f>Datos!A17</f>
        <v>Jdos. Violencia contra la mujer</v>
      </c>
      <c r="D17" s="508"/>
      <c r="E17" s="1025">
        <f>IF(ISNUMBER(Datos!AQ17),Datos!AQ17," - ")</f>
        <v>6</v>
      </c>
      <c r="F17" s="225" t="str">
        <f>IF(ISNUMBER(AF17+AB17-I17-L17),AF17+AB17-I17-L17," - ")</f>
        <v xml:space="preserve"> - </v>
      </c>
      <c r="G17" s="333">
        <f>IF(ISNUMBER(IF(D_I="SI",Datos!I17,Datos!I17+Datos!AC17)),IF(D_I="SI",Datos!I17,Datos!I17+Datos!AC17)," - ")</f>
        <v>1505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2036</v>
      </c>
      <c r="AC17" s="226">
        <f>IF(ISNUMBER(Datos!Q17),Datos!Q17," - ")</f>
        <v>37</v>
      </c>
      <c r="AD17" s="334"/>
      <c r="AE17" s="484"/>
      <c r="AF17" s="332">
        <f>IF(ISNUMBER(Datos!L17),Datos!L17,"-")</f>
        <v>1465</v>
      </c>
      <c r="AG17" s="334"/>
      <c r="AH17" s="334"/>
      <c r="AI17" s="334"/>
      <c r="AJ17" s="334"/>
      <c r="AK17" s="334"/>
      <c r="AL17" s="479"/>
      <c r="AM17" s="335">
        <f>IF(ISNUMBER(Datos!R17),Datos!R17," - ")</f>
        <v>53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134</v>
      </c>
      <c r="BD17" s="229">
        <f>IF(ISNUMBER(Datos!N17),Datos!N17," - ")</f>
        <v>1299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1.0626304801670146</v>
      </c>
      <c r="BH17" s="260">
        <f>IF(ISNUMBER(((IF(D_I="SI",Datos!L17/Datos!K17,(Datos!L17+Datos!AF17)/(Datos!K17+Datos!AE17)))*11)/factor_trimestre),((IF(D_I="SI",Datos!L17/Datos!K17,(Datos!L17+Datos!AF17)/(Datos!K17+Datos!AE17)))*11)/factor_trimestre," - ")</f>
        <v>2.158644400785855</v>
      </c>
      <c r="BI17" s="243">
        <f>IF(ISNUMBER('Resol  Asuntos'!D17/NºAsuntos!G17),'Resol  Asuntos'!D17/NºAsuntos!G17," - ")</f>
        <v>6.5815324165029471E-2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27</v>
      </c>
      <c r="F18" s="898">
        <f>SUBTOTAL(9,F15:F17)</f>
        <v>11080</v>
      </c>
      <c r="G18" s="898">
        <f>SUBTOTAL(9,G15:G17)</f>
        <v>12443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1005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17582</v>
      </c>
      <c r="AC18" s="899">
        <f t="shared" si="4"/>
        <v>931</v>
      </c>
      <c r="AD18" s="899">
        <f t="shared" si="4"/>
        <v>0</v>
      </c>
      <c r="AE18" s="899">
        <f t="shared" si="4"/>
        <v>0</v>
      </c>
      <c r="AF18" s="899">
        <f t="shared" si="4"/>
        <v>12406</v>
      </c>
      <c r="AG18" s="899">
        <f t="shared" si="4"/>
        <v>0</v>
      </c>
      <c r="AH18" s="899">
        <f t="shared" si="4"/>
        <v>0</v>
      </c>
      <c r="AI18" s="899">
        <f t="shared" si="4"/>
        <v>0</v>
      </c>
      <c r="AJ18" s="899">
        <f t="shared" si="4"/>
        <v>0</v>
      </c>
      <c r="AK18" s="899">
        <f t="shared" si="4"/>
        <v>0</v>
      </c>
      <c r="AL18" s="899">
        <f t="shared" si="4"/>
        <v>0</v>
      </c>
      <c r="AM18" s="899">
        <f t="shared" si="4"/>
        <v>1861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2336</v>
      </c>
      <c r="BD18" s="899">
        <f t="shared" si="4"/>
        <v>10428</v>
      </c>
      <c r="BE18" s="899">
        <f t="shared" si="4"/>
        <v>0</v>
      </c>
      <c r="BF18" s="899">
        <f t="shared" si="4"/>
        <v>0</v>
      </c>
      <c r="BG18" s="899">
        <f>IF(ISNUMBER(Datos!K18/Datos!J18),Datos!K18/Datos!J18," - ")</f>
        <v>1.0149512209201639</v>
      </c>
      <c r="BH18" s="903">
        <f>IF(ISNUMBER(((Datos!L18/Datos!K18)*11)/factor_trimestre),((Datos!L18/Datos!K18)*11)/factor_trimestre," - ")</f>
        <v>2.1168240245705836</v>
      </c>
      <c r="BI18" s="899">
        <f>SUBTOTAL(9,BI15:BI17)</f>
        <v>0.20745947700177203</v>
      </c>
      <c r="BJ18" s="899">
        <f>SUBTOTAL(9,BJ15:BJ17)</f>
        <v>0</v>
      </c>
      <c r="BK18" s="899">
        <f>SUBTOTAL(9,BK15:BK17)</f>
        <v>0</v>
      </c>
      <c r="BL18" s="899">
        <f>IF(ISNUMBER((I18-AB18+L18)/(F18)),(I18-AB18+L18)/(F18)," - ")</f>
        <v>-1.5868231046931407</v>
      </c>
      <c r="BM18" s="905">
        <f>IF(ISNUMBER((Datos!P18-Datos!Q18)/(Datos!R18-Datos!P18+Datos!Q18)),(Datos!P18-Datos!Q18)/(Datos!R18-Datos!P18+Datos!Q18)," - ")</f>
        <v>4.1410184667039732E-2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63</v>
      </c>
      <c r="F19" s="820">
        <f t="shared" si="6"/>
        <v>11408</v>
      </c>
      <c r="G19" s="820">
        <f t="shared" si="6"/>
        <v>12771</v>
      </c>
      <c r="H19" s="822">
        <f t="shared" si="6"/>
        <v>0</v>
      </c>
      <c r="I19" s="820">
        <f t="shared" si="6"/>
        <v>0</v>
      </c>
      <c r="J19" s="822">
        <f t="shared" si="6"/>
        <v>0</v>
      </c>
      <c r="K19" s="822">
        <f t="shared" si="6"/>
        <v>0</v>
      </c>
      <c r="L19" s="881">
        <f t="shared" si="6"/>
        <v>0</v>
      </c>
      <c r="M19" s="881">
        <f t="shared" si="6"/>
        <v>0</v>
      </c>
      <c r="N19" s="881">
        <f t="shared" si="6"/>
        <v>1452</v>
      </c>
      <c r="O19" s="881">
        <f t="shared" si="6"/>
        <v>0</v>
      </c>
      <c r="P19" s="881">
        <f t="shared" si="6"/>
        <v>0</v>
      </c>
      <c r="Q19" s="822">
        <f t="shared" si="6"/>
        <v>3599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17779</v>
      </c>
      <c r="AC19" s="821">
        <f t="shared" si="7"/>
        <v>4485</v>
      </c>
      <c r="AD19" s="821">
        <f t="shared" si="7"/>
        <v>0</v>
      </c>
      <c r="AE19" s="821">
        <f t="shared" si="7"/>
        <v>0</v>
      </c>
      <c r="AF19" s="828">
        <f t="shared" si="7"/>
        <v>12726</v>
      </c>
      <c r="AG19" s="828">
        <f t="shared" si="7"/>
        <v>0</v>
      </c>
      <c r="AH19" s="828">
        <f t="shared" si="7"/>
        <v>1131</v>
      </c>
      <c r="AI19" s="828">
        <f t="shared" si="7"/>
        <v>0</v>
      </c>
      <c r="AJ19" s="821">
        <f t="shared" si="7"/>
        <v>0</v>
      </c>
      <c r="AK19" s="828">
        <f t="shared" si="7"/>
        <v>0</v>
      </c>
      <c r="AL19" s="828">
        <f t="shared" si="7"/>
        <v>0</v>
      </c>
      <c r="AM19" s="828">
        <f t="shared" si="7"/>
        <v>32523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6404</v>
      </c>
      <c r="BD19" s="820">
        <f t="shared" si="7"/>
        <v>18025</v>
      </c>
      <c r="BE19" s="820">
        <f t="shared" si="7"/>
        <v>0</v>
      </c>
      <c r="BF19" s="830">
        <f t="shared" si="7"/>
        <v>0</v>
      </c>
      <c r="BG19" s="915">
        <f>IF(ISNUMBER(Datos!K19/Datos!J19),Datos!K19/Datos!J19," - ")</f>
        <v>0.86901722608905974</v>
      </c>
      <c r="BH19" s="915">
        <f>IF(ISNUMBER(((Datos!L19/Datos!K19)*11)/factor_trimestre),((Datos!L19/Datos!K19)*11)/factor_trimestre," - ")</f>
        <v>4.1147601818350505</v>
      </c>
      <c r="BI19" s="813">
        <f>IF(ISNUMBER(Datos!J19/Datos!I19),Datos!J19/Datos!I19," - ")</f>
        <v>0.95513231859133962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-1.5584677419354838</v>
      </c>
      <c r="BM19" s="889">
        <f>IF(ISNUMBER((Datos!P19-Datos!Q19+R19)/(Datos!R19-Datos!P19+Datos!Q19-R19)),(Datos!P19-Datos!Q19+R19)/(Datos!R19-Datos!P19+Datos!Q19-R19)," - ")</f>
        <v>-2.6519800053877697E-2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5108.3999999999996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13.536986370680884</v>
      </c>
      <c r="F21" s="551">
        <f>IF(ISNUMBER(STDEV(F8:F18)),STDEV(F8:F18),"-")</f>
        <v>6207.6700943268561</v>
      </c>
      <c r="G21" s="552">
        <f>IF(ISNUMBER(STDEV(G8:G18)),STDEV(G8:G18),"-")</f>
        <v>6051.2298997807047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8691.2812806858346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1595.4916394104268</v>
      </c>
      <c r="BD21" s="551"/>
      <c r="BE21" s="551">
        <f>IF(ISNUMBER(STDEV(BE8:BE18)),STDEV(BE8:BE18),"-")</f>
        <v>0</v>
      </c>
      <c r="BF21" s="556">
        <f>IF(ISNUMBER(STDEV(BF8:BF18)),STDEV(BF8:BF18),"-")</f>
        <v>0</v>
      </c>
      <c r="BG21" s="775">
        <f>IF(ISNUMBER(STDEV(BG8:BG18)),STDEV(BG8:BG18),"-")</f>
        <v>0.14835602796318276</v>
      </c>
      <c r="BH21" s="776">
        <f>IF(ISNUMBER(STDEV(BH8:BH18)),STDEV(BH8:BH18),"-")</f>
        <v>1.9761574379160367</v>
      </c>
      <c r="BI21" s="249">
        <f>IF(ISNUMBER(STDEV(BI8:BI18)),STDEV(BI8:BI18),"-")</f>
        <v>8.1380682811798763E-2</v>
      </c>
      <c r="BJ21" s="230" t="str">
        <f>IF(ISNUMBER(BL21/BM21),BL21/BM21," - ")</f>
        <v xml:space="preserve"> - </v>
      </c>
      <c r="BK21" s="575"/>
      <c r="BL21" s="559">
        <f>IF(ISNUMBER(STDEV(BL8:BL18)),STDEV(BL8:BL18),"-")</f>
        <v>0.69735814648862693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5NgM6uAZt7QvMgYJxeHAfQpgFspXsGnPpUZzprIWIaHv5YCrcq3U4DQKAUDRAg93FMQv8AwcN91h79qRVULA==" saltValue="caLq6TiFSpsIMO3p77uu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VALENCIA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26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2416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3291</v>
      </c>
      <c r="AA9" s="332" t="str">
        <f>IF(ISNUMBER(IF(J_V="SI",Datos!L9,Datos!L9+Datos!AB9)-IF(Monitorios="SI",Datos!CD9,0)),
                          IF(J_V="SI",Datos!L9,Datos!L9+Datos!AB9)-IF(Monitorios="SI",Datos!CD9,0),
                          " - ")</f>
        <v xml:space="preserve"> - </v>
      </c>
      <c r="AB9" s="334"/>
      <c r="AC9" s="334"/>
      <c r="AD9" s="484"/>
      <c r="AE9" s="484">
        <f>IF(ISNUMBER(Datos!R9),Datos!R9," - ")</f>
        <v>28796</v>
      </c>
      <c r="AF9" s="229" t="str">
        <f>IF(ISNUMBER(Datos!BV9),Datos!BV9," - ")</f>
        <v xml:space="preserve"> - </v>
      </c>
      <c r="AG9" s="225" t="str">
        <f>IF(ISNUMBER(Datos!DV9),Datos!DV9," - ")</f>
        <v xml:space="preserve"> - </v>
      </c>
      <c r="AH9" s="298"/>
      <c r="AI9" s="227"/>
      <c r="AJ9" s="225">
        <f>IF(ISNUMBER(Datos!M9),Datos!M9," - ")</f>
        <v>3387</v>
      </c>
      <c r="AK9" s="229">
        <f>IF(ISNUMBER(Datos!N9),Datos!N9," - ")</f>
        <v>7030</v>
      </c>
      <c r="AL9" s="229" t="str">
        <f>IF(ISNUMBER(Datos!BW9),Datos!BW9," - ")</f>
        <v xml:space="preserve"> - </v>
      </c>
      <c r="AM9" s="228" t="str">
        <f>IF(ISNUMBER(Datos!BX9),Datos!BX9," - ")</f>
        <v xml:space="preserve"> - </v>
      </c>
      <c r="AN9" s="243"/>
      <c r="AO9" s="260">
        <f>IF(ISNUMBER(((NºAsuntos!I9/NºAsuntos!G9)*11)/factor_trimestre),((NºAsuntos!I9/NºAsuntos!G9)*11)/factor_trimestre," - ")</f>
        <v>6.4169764560099134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-2.949007448350241E-2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6</v>
      </c>
      <c r="B10" s="507" t="s">
        <v>246</v>
      </c>
      <c r="C10" s="7" t="str">
        <f>Datos!A10</f>
        <v>Jdos. Violencia contra la mujer</v>
      </c>
      <c r="D10" s="508"/>
      <c r="E10" s="1168">
        <f>IF(ISNUMBER(Datos!AQ10),Datos!AQ10," - ")</f>
        <v>6</v>
      </c>
      <c r="F10" s="225">
        <f>IF(ISNUMBER(Datos!L10+Datos!K10-Datos!J10),Datos!L10+Datos!K10-Datos!J10," - ")</f>
        <v>328</v>
      </c>
      <c r="G10" s="225">
        <f>IF(ISNUMBER(Datos!I10),Datos!I10," - ")</f>
        <v>328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197</v>
      </c>
      <c r="Z10" s="619">
        <f>IF(ISNUMBER(Datos!Q10),Datos!Q10," - ")</f>
        <v>82</v>
      </c>
      <c r="AA10" s="332">
        <f>IF(ISNUMBER(Datos!L10),Datos!L10,"-")</f>
        <v>320</v>
      </c>
      <c r="AB10" s="334"/>
      <c r="AC10" s="334"/>
      <c r="AD10" s="484"/>
      <c r="AE10" s="484">
        <f>IF(ISNUMBER(Datos!R10),Datos!R10," - ")</f>
        <v>257</v>
      </c>
      <c r="AF10" s="229" t="str">
        <f>IF(ISNUMBER(Datos!BV10),Datos!BV10," - ")</f>
        <v xml:space="preserve"> - </v>
      </c>
      <c r="AG10" s="225" t="str">
        <f>IF(ISNUMBER(Datos!DV10),Datos!DV10," - ")</f>
        <v xml:space="preserve"> - </v>
      </c>
      <c r="AH10" s="298"/>
      <c r="AI10" s="227"/>
      <c r="AJ10" s="225">
        <f>IF(ISNUMBER(Datos!M10),Datos!M10," - ")</f>
        <v>83</v>
      </c>
      <c r="AK10" s="229">
        <f>IF(ISNUMBER(Datos!N10),Datos!N10," - ")</f>
        <v>88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4.873096446700508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-0.14333333333333334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139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181</v>
      </c>
      <c r="AA11" s="332" t="str">
        <f>IF(ISNUMBER(IF(J_V="SI",Datos!L11,Datos!L11+Datos!AB11)-IF(Monitorios="SI",Datos!CD11,0)),
                          IF(J_V="SI",Datos!L11,Datos!L11+Datos!AB11)-IF(Monitorios="SI",Datos!CD11,0),
                          " - ")</f>
        <v xml:space="preserve"> - </v>
      </c>
      <c r="AB11" s="334"/>
      <c r="AC11" s="334"/>
      <c r="AD11" s="484"/>
      <c r="AE11" s="484">
        <f>IF(ISNUMBER(Datos!R11),Datos!R11," - ")</f>
        <v>1609</v>
      </c>
      <c r="AF11" s="229" t="str">
        <f>IF(ISNUMBER(Datos!BV11),Datos!BV11," - ")</f>
        <v xml:space="preserve"> - </v>
      </c>
      <c r="AG11" s="225" t="str">
        <f>IF(ISNUMBER(Datos!DV11),Datos!DV11," - ")</f>
        <v xml:space="preserve"> - </v>
      </c>
      <c r="AH11" s="298"/>
      <c r="AI11" s="227"/>
      <c r="AJ11" s="225">
        <f>IF(ISNUMBER(Datos!M11),Datos!M11," - ")</f>
        <v>598</v>
      </c>
      <c r="AK11" s="229">
        <f>IF(ISNUMBER(Datos!N11),Datos!N11," - ")</f>
        <v>479</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3.6860888565185732</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-2.5439127801332527E-2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36</v>
      </c>
      <c r="F13" s="898">
        <f>SUBTOTAL(9,F8:F12)</f>
        <v>328</v>
      </c>
      <c r="G13" s="898">
        <f>SUBTOTAL(9,G8:G12)</f>
        <v>328</v>
      </c>
      <c r="H13" s="908"/>
      <c r="I13" s="898">
        <f t="shared" ref="I13:N13" si="0">SUBTOTAL(9,I8:I12)</f>
        <v>0</v>
      </c>
      <c r="J13" s="867">
        <f t="shared" si="0"/>
        <v>0</v>
      </c>
      <c r="K13" s="908">
        <f t="shared" si="0"/>
        <v>0</v>
      </c>
      <c r="L13" s="908">
        <f t="shared" si="0"/>
        <v>0</v>
      </c>
      <c r="M13" s="908">
        <f t="shared" si="0"/>
        <v>0</v>
      </c>
      <c r="N13" s="908">
        <f t="shared" si="0"/>
        <v>2594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197</v>
      </c>
      <c r="Z13" s="907">
        <f t="shared" si="2"/>
        <v>3554</v>
      </c>
      <c r="AA13" s="900">
        <f t="shared" si="2"/>
        <v>320</v>
      </c>
      <c r="AB13" s="900">
        <f t="shared" si="2"/>
        <v>0</v>
      </c>
      <c r="AC13" s="900">
        <f t="shared" si="2"/>
        <v>0</v>
      </c>
      <c r="AD13" s="900">
        <f t="shared" si="2"/>
        <v>0</v>
      </c>
      <c r="AE13" s="900">
        <f t="shared" si="2"/>
        <v>30662</v>
      </c>
      <c r="AF13" s="908">
        <f t="shared" si="2"/>
        <v>0</v>
      </c>
      <c r="AG13" s="908">
        <f t="shared" si="2"/>
        <v>0</v>
      </c>
      <c r="AH13" s="908">
        <f t="shared" si="2"/>
        <v>0</v>
      </c>
      <c r="AI13" s="908">
        <f t="shared" si="2"/>
        <v>0</v>
      </c>
      <c r="AJ13" s="908">
        <f t="shared" si="2"/>
        <v>4068</v>
      </c>
      <c r="AK13" s="908">
        <f t="shared" si="2"/>
        <v>7597</v>
      </c>
      <c r="AL13" s="908">
        <f t="shared" si="2"/>
        <v>0</v>
      </c>
      <c r="AM13" s="908">
        <f t="shared" si="2"/>
        <v>0</v>
      </c>
      <c r="AN13" s="908">
        <f t="shared" si="2"/>
        <v>0</v>
      </c>
      <c r="AO13" s="904">
        <f>IF(ISNUMBER(((NºAsuntos!I13/NºAsuntos!G13)*11)/factor_trimestre),((NºAsuntos!I13/NºAsuntos!G13)*11)/factor_trimestre," - ")</f>
        <v>6.1651341948310154</v>
      </c>
      <c r="AP13" s="910" t="str">
        <f>IF(ISNUMBER(Datos!CI13/Datos!CJ13),Datos!CI13/Datos!CJ13," - ")</f>
        <v xml:space="preserve"> - </v>
      </c>
      <c r="AQ13" s="928">
        <f t="shared" ref="AQ13:AV13" si="3">SUBTOTAL(9,AQ9:AQ12)</f>
        <v>0</v>
      </c>
      <c r="AR13" s="928">
        <f t="shared" si="3"/>
        <v>-0.19826253561816828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21</v>
      </c>
      <c r="B15" s="507" t="s">
        <v>396</v>
      </c>
      <c r="C15" s="160" t="str">
        <f>Datos!A15</f>
        <v xml:space="preserve">Jdos. Instrucción                               </v>
      </c>
      <c r="D15" s="502"/>
      <c r="E15" s="1168">
        <f>IF(ISNUMBER(Datos!AQ15),Datos!AQ15," - ")</f>
        <v>21</v>
      </c>
      <c r="F15" s="333">
        <f>IF(ISNUMBER(AA15+Y15-Datos!J15-K15),AA15+Y15-Datos!J15-K15," - ")</f>
        <v>11080</v>
      </c>
      <c r="G15" s="225">
        <f>IF(ISNUMBER(IF(D_I="SI",Datos!I15,Datos!I15+Datos!AC15)),IF(D_I="SI",Datos!I15,Datos!I15+Datos!AC15)," - ")</f>
        <v>10938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961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15546</v>
      </c>
      <c r="Z15" s="619">
        <f>IF(ISNUMBER(Datos!Q15),Datos!Q15," - ")</f>
        <v>894</v>
      </c>
      <c r="AA15" s="332">
        <f>IF(ISNUMBER(IF(D_I="SI",Datos!L15,Datos!L15+Datos!AF15)),IF(D_I="SI",Datos!L15,Datos!L15+Datos!AF15)," - ")</f>
        <v>10941</v>
      </c>
      <c r="AB15" s="334"/>
      <c r="AC15" s="334"/>
      <c r="AD15" s="484"/>
      <c r="AE15" s="484">
        <f>IF(ISNUMBER(Datos!R15),Datos!R15," - ")</f>
        <v>1808</v>
      </c>
      <c r="AF15" s="229" t="str">
        <f>IF(ISNUMBER(Datos!BV15),Datos!BV15," - ")</f>
        <v xml:space="preserve"> - </v>
      </c>
      <c r="AG15" s="225"/>
      <c r="AH15" s="298"/>
      <c r="AI15" s="227"/>
      <c r="AJ15" s="225">
        <f>IF(ISNUMBER(Datos!M15),Datos!M15," - ")</f>
        <v>2202</v>
      </c>
      <c r="AK15" s="229">
        <f>IF(ISNUMBER(Datos!N15),Datos!N15," - ")</f>
        <v>9129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2.1113469702817445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6</v>
      </c>
      <c r="B17" s="507" t="s">
        <v>396</v>
      </c>
      <c r="C17" s="7" t="str">
        <f>Datos!A17</f>
        <v>Jdos. Violencia contra la mujer</v>
      </c>
      <c r="D17" s="508"/>
      <c r="E17" s="1168">
        <f>IF(ISNUMBER(Datos!AQ17),Datos!AQ17," - ")</f>
        <v>6</v>
      </c>
      <c r="F17" s="225" t="str">
        <f>IF(ISNUMBER(AA17+Y17-I17-K17),AA17+Y17-I17-K17," - ")</f>
        <v xml:space="preserve"> - </v>
      </c>
      <c r="G17" s="523">
        <f>IF(ISNUMBER(IF(D_I="SI",Datos!I17,Datos!I17+Datos!AC17)),IF(D_I="SI",Datos!I17,Datos!I17+Datos!AC17)," - ")</f>
        <v>1505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2036</v>
      </c>
      <c r="Z17" s="619">
        <f>IF(ISNUMBER(Datos!Q17),Datos!Q17," - ")</f>
        <v>37</v>
      </c>
      <c r="AA17" s="332">
        <f>IF(ISNUMBER(Datos!L17),Datos!L17,"-")</f>
        <v>1465</v>
      </c>
      <c r="AB17" s="334"/>
      <c r="AC17" s="334"/>
      <c r="AD17" s="484"/>
      <c r="AE17" s="484">
        <f>IF(ISNUMBER(Datos!R17),Datos!R17," - ")</f>
        <v>53</v>
      </c>
      <c r="AF17" s="229" t="str">
        <f>IF(ISNUMBER(Datos!BV17),Datos!BV17," - ")</f>
        <v xml:space="preserve"> - </v>
      </c>
      <c r="AG17" s="225" t="str">
        <f>IF(ISNUMBER(Datos!DV17),Datos!DV17," - ")</f>
        <v xml:space="preserve"> - </v>
      </c>
      <c r="AH17" s="298"/>
      <c r="AI17" s="227"/>
      <c r="AJ17" s="225">
        <f>IF(ISNUMBER(Datos!M17),Datos!M17," - ")</f>
        <v>134</v>
      </c>
      <c r="AK17" s="229">
        <f>IF(ISNUMBER(Datos!N17),Datos!N17," - ")</f>
        <v>1299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2.158644400785855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27</v>
      </c>
      <c r="F18" s="898">
        <f>SUBTOTAL(9,F15:F17)</f>
        <v>11080</v>
      </c>
      <c r="G18" s="898">
        <f>SUBTOTAL(9,G15:G17)</f>
        <v>12443</v>
      </c>
      <c r="H18" s="932">
        <f>SUBTOTAL(9,H15:H17)</f>
        <v>0</v>
      </c>
      <c r="I18" s="911">
        <f>SUBTOTAL(9,I15:I17)</f>
        <v>0</v>
      </c>
      <c r="J18" s="867">
        <f>SUBTOTAL(9,J14:J17)</f>
        <v>0</v>
      </c>
      <c r="K18" s="932">
        <f t="shared" ref="K18:S18" si="4">SUBTOTAL(9,K15:K17)</f>
        <v>0</v>
      </c>
      <c r="L18" s="932">
        <f t="shared" si="4"/>
        <v>0</v>
      </c>
      <c r="M18" s="932">
        <f t="shared" si="4"/>
        <v>0</v>
      </c>
      <c r="N18" s="932">
        <f t="shared" si="4"/>
        <v>1005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17582</v>
      </c>
      <c r="Z18" s="932">
        <f t="shared" si="5"/>
        <v>931</v>
      </c>
      <c r="AA18" s="932">
        <f t="shared" si="5"/>
        <v>12406</v>
      </c>
      <c r="AB18" s="932">
        <f t="shared" si="5"/>
        <v>0</v>
      </c>
      <c r="AC18" s="932">
        <f t="shared" si="5"/>
        <v>0</v>
      </c>
      <c r="AD18" s="932">
        <f t="shared" si="5"/>
        <v>0</v>
      </c>
      <c r="AE18" s="932">
        <f t="shared" si="5"/>
        <v>1861</v>
      </c>
      <c r="AF18" s="932">
        <f t="shared" si="5"/>
        <v>0</v>
      </c>
      <c r="AG18" s="932">
        <f t="shared" si="5"/>
        <v>0</v>
      </c>
      <c r="AH18" s="932">
        <f t="shared" si="5"/>
        <v>0</v>
      </c>
      <c r="AI18" s="932">
        <f t="shared" si="5"/>
        <v>0</v>
      </c>
      <c r="AJ18" s="932">
        <f t="shared" si="5"/>
        <v>2336</v>
      </c>
      <c r="AK18" s="932">
        <f t="shared" si="5"/>
        <v>10428</v>
      </c>
      <c r="AL18" s="932">
        <f t="shared" si="5"/>
        <v>0</v>
      </c>
      <c r="AM18" s="932">
        <f t="shared" si="5"/>
        <v>0</v>
      </c>
      <c r="AN18" s="932">
        <f t="shared" si="5"/>
        <v>0</v>
      </c>
      <c r="AO18" s="934">
        <f>IF(ISNUMBER(((NºAsuntos!I18/NºAsuntos!G18)*11)/factor_trimestre),((NºAsuntos!I18/NºAsuntos!G18)*11)/factor_trimestre," - ")</f>
        <v>2.1168240245705836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63</v>
      </c>
      <c r="F19" s="820">
        <f t="shared" si="7"/>
        <v>11408</v>
      </c>
      <c r="G19" s="820">
        <f t="shared" si="7"/>
        <v>12771</v>
      </c>
      <c r="H19" s="821">
        <f t="shared" si="7"/>
        <v>0</v>
      </c>
      <c r="I19" s="820">
        <f t="shared" si="7"/>
        <v>0</v>
      </c>
      <c r="J19" s="822">
        <f t="shared" si="7"/>
        <v>0</v>
      </c>
      <c r="K19" s="820">
        <f t="shared" si="7"/>
        <v>0</v>
      </c>
      <c r="L19" s="823">
        <f t="shared" si="7"/>
        <v>0</v>
      </c>
      <c r="M19" s="820">
        <f t="shared" si="7"/>
        <v>0</v>
      </c>
      <c r="N19" s="821">
        <f t="shared" si="7"/>
        <v>3599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17779</v>
      </c>
      <c r="Z19" s="827">
        <f t="shared" si="8"/>
        <v>4485</v>
      </c>
      <c r="AA19" s="828">
        <f t="shared" si="8"/>
        <v>12726</v>
      </c>
      <c r="AB19" s="828">
        <f t="shared" si="8"/>
        <v>0</v>
      </c>
      <c r="AC19" s="828">
        <f t="shared" si="8"/>
        <v>0</v>
      </c>
      <c r="AD19" s="829">
        <f t="shared" si="8"/>
        <v>0</v>
      </c>
      <c r="AE19" s="829">
        <f t="shared" si="8"/>
        <v>32523</v>
      </c>
      <c r="AF19" s="830">
        <f t="shared" si="8"/>
        <v>0</v>
      </c>
      <c r="AG19" s="831">
        <f t="shared" si="8"/>
        <v>0</v>
      </c>
      <c r="AH19" s="832">
        <f t="shared" si="8"/>
        <v>0</v>
      </c>
      <c r="AI19" s="830">
        <f t="shared" si="8"/>
        <v>0</v>
      </c>
      <c r="AJ19" s="820">
        <f t="shared" si="8"/>
        <v>6404</v>
      </c>
      <c r="AK19" s="820">
        <f t="shared" si="8"/>
        <v>18025</v>
      </c>
      <c r="AL19" s="820">
        <f t="shared" si="8"/>
        <v>0</v>
      </c>
      <c r="AM19" s="833">
        <f t="shared" si="8"/>
        <v>0</v>
      </c>
      <c r="AN19" s="823">
        <f>IF(ISNUMBER(Datos!K19/Datos!J19),Datos!K19/Datos!J19," - ")</f>
        <v>0.86901722608905974</v>
      </c>
      <c r="AO19" s="823">
        <f>IF(ISNUMBER(FIND("06",Criterios!A8,1)),(IF(ISNUMBER(((Datos!R19/Datos!Q19)*11)/factor_trimestre),((Datos!R19/Datos!Q19)*11)/factor_trimestre," - ")),(IF(ISNUMBER(((Datos!L19/Datos!K19)*11)/factor_trimestre),((Datos!L19/Datos!K19)*11)/factor_trimestre," - ")))</f>
        <v>4.1147601818350505</v>
      </c>
      <c r="AP19" s="834" t="str">
        <f>IF(ISNUMBER(Datos!CI19/Datos!CJ19),Datos!CI19/Datos!CJ19," - ")</f>
        <v xml:space="preserve"> - </v>
      </c>
      <c r="AQ19" s="834">
        <f>IF(OR(ISNUMBER(FIND("01",Criterios!A8,1)),ISNUMBER(FIND("02",Criterios!A8,1)),ISNUMBER(FIND("03",Criterios!A8,1)),ISNUMBER(FIND("04",Criterios!A8,1))),(J19-Y19+K19)/(F19-K19),(I19-Y19+K19)/(F19-K19))</f>
        <v>-1.5584677419354838</v>
      </c>
      <c r="AR19" s="834">
        <f>IF(ISNUMBER((Datos!P19-Datos!Q19+O19)/(Datos!R19-Datos!P19+Datos!Q19-O19)),(Datos!P19-Datos!Q19+O19)/(Datos!R19-Datos!P19+Datos!Q19-O19)," - ")</f>
        <v>-2.6519800053877697E-2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5108.3999999999996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6207.6700943268561</v>
      </c>
      <c r="G21" s="552">
        <f>IF(ISNUMBER(STDEV(G8:G18)),STDEV(G8:G18),"-")</f>
        <v>6051.2298997807047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1595.4916394104268</v>
      </c>
      <c r="AK21" s="252"/>
      <c r="AL21" s="252">
        <f>IF(ISNUMBER(STDEV(AL8:AL18)),STDEV(AL8:AL18),"-")</f>
        <v>0</v>
      </c>
      <c r="AM21" s="254">
        <f>IF(ISNUMBER(STDEV(AM8:AM18)),STDEV(AM8:AM18),"-")</f>
        <v>0</v>
      </c>
      <c r="AN21" s="539">
        <f>IF(ISNUMBER(STDEV(AN8:AN18)),STDEV(AN8:AN18),"-")</f>
        <v>0</v>
      </c>
      <c r="AO21" s="540">
        <f>IF(ISNUMBER(STDEV(AO8:AO18)),STDEV(AO8:AO18),"-")</f>
        <v>1.908863539493592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AKcwx5Ibm/UuDhiqSFJGypsAfTTT6P5d8MZOySYxvadNtKdtsMCz5lpku/Lpc7BgG7/6uiRJjQLkue50AKGiiQ==" saltValue="SiQued86MMtzfg224nLn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2+bDT4DwDhi8seC5AnrZANAMfEyYHjW0sU5s16/WGAs7Mn9YJzbsCW3tvfOTh9i6wILxuv0oOpvGrR32i3LNA==" saltValue="xb67+AbWG8US5u7XMvau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YWqyuspZmifEfz+WsKjDiX23wV5SLwOEf8TtBrWA97ZH7wUO0I/gx9nuhlqxWkpPLQGiT2dLfZgCmmi0qTAhw==" saltValue="Ej5aJZ5BwYc1BDjXW5Gr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VALENCIA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0.25273359840954274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0.1787096412690653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grXIzP6qLoDX/wkI0TMcO1aJukRrreSGzBuJR0OgbddoKk25gLyg8pv65SXEDJb30ETCEs84Fr4/aithbMEAQ==" saltValue="mMG+IykTpoQkY7GddkQP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5JMauEbIPI9e+NkZnaWtViUJlI6MjhviFvxJrOBQTO5u/zZIqw6K42olLMe+YGhZmHrUCcsei/9Nr3CddK3ljg==" saltValue="oeZfrz7Liy6M2/5tm7kA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VALENCIA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26</v>
      </c>
      <c r="C9" s="403">
        <f>IF(ISNUMBER(IF(J_V="SI",Datos!I9,Datos!I9+Datos!Y9)),IF(J_V="SI",Datos!I9,Datos!I9+Datos!Y9)," - ")</f>
        <v>25443</v>
      </c>
      <c r="D9" s="404">
        <f>IF(ISNUMBER(C9/Datos!BH9),C9/Datos!BH9," - ")</f>
        <v>978.57692307692309</v>
      </c>
      <c r="E9" s="403">
        <f>IF(ISNUMBER(IF(J_V="SI",Datos!J9,Datos!J9+Datos!Z9)),IF(J_V="SI",Datos!J9,Datos!J9+Datos!Z9)," - ")</f>
        <v>19856</v>
      </c>
      <c r="F9" s="404">
        <f>IF(ISNUMBER(E9/B9),E9/B9," - ")</f>
        <v>763.69230769230774</v>
      </c>
      <c r="G9" s="403">
        <f>IF(ISNUMBER(IF(J_V="SI",Datos!K9,Datos!K9+Datos!AA9)),IF(J_V="SI",Datos!K9,Datos!K9+Datos!AA9)," - ")</f>
        <v>14526</v>
      </c>
      <c r="H9" s="404">
        <f>IF(ISNUMBER(G9/B9),G9/B9," - ")</f>
        <v>558.69230769230774</v>
      </c>
      <c r="I9" s="403">
        <f>IF(ISNUMBER(IF(J_V="SI",Datos!L9,Datos!L9+Datos!AB9)),IF(J_V="SI",Datos!L9,Datos!L9+Datos!AB9)," - ")</f>
        <v>31071</v>
      </c>
      <c r="J9" s="404">
        <f>IF(ISNUMBER(I9/B9),I9/B9," - ")</f>
        <v>1195.0384615384614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6</v>
      </c>
      <c r="C10" s="403">
        <f>IF(ISNUMBER(Datos!I10),Datos!I10," - ")</f>
        <v>328</v>
      </c>
      <c r="D10" s="404">
        <f>IF(ISNUMBER(C10/Datos!BH10),C10/Datos!BH10," - ")</f>
        <v>65.599999999999994</v>
      </c>
      <c r="E10" s="403">
        <f>IF(ISNUMBER(Datos!J10),Datos!J10," - ")</f>
        <v>189</v>
      </c>
      <c r="F10" s="404">
        <f>IF(ISNUMBER(E10/B10),E10/B10," - ")</f>
        <v>31.5</v>
      </c>
      <c r="G10" s="403">
        <f>IF(ISNUMBER(Datos!K10),Datos!K10," - ")</f>
        <v>197</v>
      </c>
      <c r="H10" s="404">
        <f>IF(ISNUMBER(G10/B10),G10/B10," - ")</f>
        <v>32.833333333333336</v>
      </c>
      <c r="I10" s="403">
        <f>IF(ISNUMBER(Datos!L10),Datos!L10," - ")</f>
        <v>320</v>
      </c>
      <c r="J10" s="404">
        <f>IF(ISNUMBER(I10/B10),I10/B10," - ")</f>
        <v>53.333333333333336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4</v>
      </c>
      <c r="C11" s="403">
        <f>IF(ISNUMBER(IF(J_V="SI",Datos!I11,Datos!I11+Datos!Y11)),IF(J_V="SI",Datos!I11,Datos!I11+Datos!Y11)," - ")</f>
        <v>1765</v>
      </c>
      <c r="D11" s="404">
        <f>IF(ISNUMBER(C11/Datos!BH11),C11/Datos!BH11," - ")</f>
        <v>441.25</v>
      </c>
      <c r="E11" s="403">
        <f>IF(ISNUMBER(IF(J_V="SI",Datos!J11,Datos!J11+Datos!Z11)),IF(J_V="SI",Datos!J11,Datos!J11+Datos!Z11)," - ")</f>
        <v>1295</v>
      </c>
      <c r="F11" s="404">
        <f>IF(ISNUMBER(E11/B11),E11/B11," - ")</f>
        <v>323.75</v>
      </c>
      <c r="G11" s="403">
        <f>IF(ISNUMBER(IF(J_V="SI",Datos!K11,Datos!K11+Datos!AA11)),IF(J_V="SI",Datos!K11,Datos!K11+Datos!AA11)," - ")</f>
        <v>1373</v>
      </c>
      <c r="H11" s="404">
        <f>IF(ISNUMBER(G11/B11),G11/B11," - ")</f>
        <v>343.25</v>
      </c>
      <c r="I11" s="403">
        <f>IF(ISNUMBER(IF(J_V="SI",Datos!L11,Datos!L11+Datos!AB11)),IF(J_V="SI",Datos!L11,Datos!L11+Datos!AB11)," - ")</f>
        <v>1687</v>
      </c>
      <c r="J11" s="404">
        <f>IF(ISNUMBER(I11/B11),I11/B11," - ")</f>
        <v>421.75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36</v>
      </c>
      <c r="C13" s="849">
        <f>SUBTOTAL(9,C8:C12)</f>
        <v>27536</v>
      </c>
      <c r="D13" s="850" t="str">
        <f>IF(ISNUMBER(C13/Datos!BI13),C13/Datos!BI13," - ")</f>
        <v xml:space="preserve"> - </v>
      </c>
      <c r="E13" s="849">
        <f>SUBTOTAL(9,E8:E12)</f>
        <v>21340</v>
      </c>
      <c r="F13" s="850">
        <f>IF(ISNUMBER(E13/B13),E13/B13," - ")</f>
        <v>592.77777777777783</v>
      </c>
      <c r="G13" s="849">
        <f>SUBTOTAL(9,G8:G12)</f>
        <v>16096</v>
      </c>
      <c r="H13" s="850">
        <f>IF(ISNUMBER(G13/B13),G13/B13," - ")</f>
        <v>447.11111111111109</v>
      </c>
      <c r="I13" s="849">
        <f>SUBTOTAL(9,I8:I12)</f>
        <v>33078</v>
      </c>
      <c r="J13" s="850">
        <f>IF(ISNUMBER(I13/B13),I13/B13," - ")</f>
        <v>918.83333333333337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21</v>
      </c>
      <c r="C15" s="403">
        <f>IF(ISNUMBER(IF(D_I="SI",Datos!I15,Datos!I15+Datos!AC15)),IF(D_I="SI",Datos!I15,Datos!I15+Datos!AC15)," - ")</f>
        <v>10938</v>
      </c>
      <c r="D15" s="404">
        <f>IF(ISNUMBER(C15/Datos!BH15),C15/Datos!BH15," - ")</f>
        <v>520.85714285714289</v>
      </c>
      <c r="E15" s="403">
        <f>IF(ISNUMBER(IF(D_I="SI",Datos!J15,Datos!J15+Datos!AD15)),IF(D_I="SI",Datos!J15,Datos!J15+Datos!AD15)," - ")</f>
        <v>15407</v>
      </c>
      <c r="F15" s="404">
        <f>IF(ISNUMBER(E15/B15),E15/B15," - ")</f>
        <v>733.66666666666663</v>
      </c>
      <c r="G15" s="403">
        <f>IF(ISNUMBER(IF(D_I="SI",Datos!K15,Datos!K15+Datos!AE15)),IF(D_I="SI",Datos!K15,Datos!K15+Datos!AE15)," - ")</f>
        <v>15546</v>
      </c>
      <c r="H15" s="404">
        <f>IF(ISNUMBER(G15/B15),G15/B15," - ")</f>
        <v>740.28571428571433</v>
      </c>
      <c r="I15" s="403">
        <f>IF(ISNUMBER(IF(D_I="SI",Datos!L15,Datos!L15+Datos!AF15)),IF(D_I="SI",Datos!L15,Datos!L15+Datos!AF15)," - ")</f>
        <v>10941</v>
      </c>
      <c r="J15" s="404">
        <f>IF(ISNUMBER(I15/B15),I15/B15," - ")</f>
        <v>521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6</v>
      </c>
      <c r="C17" s="403">
        <f>IF(ISNUMBER(IF(D_I="SI",Datos!I17,Datos!I17+Datos!AC17)),IF(D_I="SI",Datos!I17,Datos!I17+Datos!AC17)," - ")</f>
        <v>1505</v>
      </c>
      <c r="D17" s="404">
        <f>IF(ISNUMBER(C17/Datos!BH17),C17/Datos!BH17," - ")</f>
        <v>301</v>
      </c>
      <c r="E17" s="403">
        <f>IF(ISNUMBER(IF(D_I="SI",Datos!J17,Datos!J17+Datos!AD17)),IF(D_I="SI",Datos!J17,Datos!J17+Datos!AD17)," - ")</f>
        <v>1916</v>
      </c>
      <c r="F17" s="404">
        <f>IF(ISNUMBER(E17/B17),E17/B17," - ")</f>
        <v>319.33333333333331</v>
      </c>
      <c r="G17" s="403">
        <f>IF(ISNUMBER(IF(D_I="SI",Datos!K17,Datos!K17+Datos!AE17)),IF(D_I="SI",Datos!K17,Datos!K17+Datos!AE17)," - ")</f>
        <v>2036</v>
      </c>
      <c r="H17" s="404">
        <f>IF(ISNUMBER(G17/B17),G17/B17," - ")</f>
        <v>339.33333333333331</v>
      </c>
      <c r="I17" s="403">
        <f>IF(ISNUMBER(IF(D_I="SI",Datos!L17,Datos!L17+Datos!AF17)),IF(D_I="SI",Datos!L17,Datos!L17+Datos!AF17)," - ")</f>
        <v>1465</v>
      </c>
      <c r="J17" s="404">
        <f>IF(ISNUMBER(I17/B17),I17/B17," - ")</f>
        <v>244.16666666666666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27</v>
      </c>
      <c r="C18" s="849">
        <f>SUBTOTAL(9,C14:C17)</f>
        <v>12443</v>
      </c>
      <c r="D18" s="850" t="str">
        <f>IF(ISNUMBER(C18/Datos!BI18),C18/Datos!BI18," - ")</f>
        <v xml:space="preserve"> - </v>
      </c>
      <c r="E18" s="849">
        <f>SUBTOTAL(9,E14:E17)</f>
        <v>17323</v>
      </c>
      <c r="F18" s="850">
        <f>IF(ISNUMBER(E18/B18),E18/B18," - ")</f>
        <v>641.59259259259261</v>
      </c>
      <c r="G18" s="849">
        <f>SUBTOTAL(9,G14:G17)</f>
        <v>17582</v>
      </c>
      <c r="H18" s="850">
        <f>IF(ISNUMBER(G18/B18),G18/B18," - ")</f>
        <v>651.18518518518522</v>
      </c>
      <c r="I18" s="849">
        <f>SUBTOTAL(9,I14:I17)</f>
        <v>12406</v>
      </c>
      <c r="J18" s="850">
        <f>IF(ISNUMBER(I18/B18),I18/B18," - ")</f>
        <v>459.48148148148147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57</v>
      </c>
      <c r="C19" s="794">
        <f>SUBTOTAL(9,C9:C18)</f>
        <v>39979</v>
      </c>
      <c r="D19" s="795" t="str">
        <f>IF(ISNUMBER(C19/Datos!BI19),C19/Datos!BI19," - ")</f>
        <v xml:space="preserve"> - </v>
      </c>
      <c r="E19" s="794">
        <f>SUBTOTAL(9,E9:E18)</f>
        <v>38663</v>
      </c>
      <c r="F19" s="795">
        <f>IF(ISNUMBER(E19/B19),E19/B19," - ")</f>
        <v>678.29824561403507</v>
      </c>
      <c r="G19" s="794">
        <f>SUBTOTAL(9,G9:G18)</f>
        <v>33678</v>
      </c>
      <c r="H19" s="795">
        <f>IF(ISNUMBER(G19/B19),G19/B19," - ")</f>
        <v>590.84210526315792</v>
      </c>
      <c r="I19" s="794">
        <f>SUBTOTAL(9,I9:I18)</f>
        <v>45484</v>
      </c>
      <c r="J19" s="795">
        <f>IF(ISNUMBER(I19/B19),I19/B19," - ")</f>
        <v>797.96491228070181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3WZnftjCWW0p+WEC+5BmCoqemzSP9HOImauZ69K7Et2j+CkLpUi81JjcydMPM55CZww5IVfF/NHlNHVA6R/quQ==" saltValue="aQl8tKUKayFa5J6mpRhK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VALENCIA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26</v>
      </c>
      <c r="B9" s="501" t="s">
        <v>246</v>
      </c>
      <c r="C9" s="160" t="str">
        <f>Datos!A9</f>
        <v xml:space="preserve">Jdos. 1ª Instancia   </v>
      </c>
      <c r="D9" s="502"/>
      <c r="E9" s="682">
        <f>IF(ISNUMBER(Datos!AQ9),Datos!AQ9," - ")</f>
        <v>26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6</v>
      </c>
      <c r="B10" s="507" t="s">
        <v>246</v>
      </c>
      <c r="C10" s="7" t="str">
        <f>Datos!A10</f>
        <v>Jdos. Violencia contra la mujer</v>
      </c>
      <c r="D10" s="508"/>
      <c r="E10" s="682">
        <f>IF(ISNUMBER(Datos!AQ10),Datos!AQ10," - ")</f>
        <v>6</v>
      </c>
      <c r="F10" s="683">
        <f>IF(ISNUMBER(Datos!L10+Datos!K10-Datos!J10),Datos!L10+Datos!K10-Datos!J10," - ")</f>
        <v>328</v>
      </c>
      <c r="G10" s="684">
        <f>IF(ISNUMBER(Datos!I10),Datos!I10," - ")</f>
        <v>328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197</v>
      </c>
      <c r="AC10" s="683" t="str">
        <f>IF(ISNUMBER(IF(D_I="SI",DatosP!K17,DatosP!K17+DatosP!AE17)),IF(D_I="SI",DatosP!K17,DatosP!K17+DatosP!AE17)," - ")</f>
        <v xml:space="preserve"> - </v>
      </c>
      <c r="AD10" s="685"/>
      <c r="AE10" s="685"/>
      <c r="AF10" s="688">
        <f>IF(ISNUMBER(Datos!L10),Datos!L10,"-")</f>
        <v>320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83</v>
      </c>
      <c r="AM10" s="690">
        <f>IF(ISNUMBER(Datos!N10+DatosP!N17),Datos!N10+DatosP!N17," - ")</f>
        <v>88</v>
      </c>
      <c r="AN10" s="690">
        <f>IF(ISNUMBER(Datos!BW10+DatosP!BW17),Datos!BW10+DatosP!BW17," - ")</f>
        <v>0</v>
      </c>
      <c r="AO10" s="691">
        <f>IF(ISNUMBER(Datos!BX10+DatosP!BX17),Datos!BX10+DatosP!BX17," - ")</f>
        <v>0</v>
      </c>
      <c r="AP10" s="693">
        <f>IF(ISNUMBER(((Datos!L10/Datos!K10)*11)/factor_trimestre),((Datos!L10/Datos!K10)*11)/factor_trimestre," - ")</f>
        <v>4.873096446700508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36</v>
      </c>
      <c r="F13" s="938">
        <f t="shared" si="0"/>
        <v>328</v>
      </c>
      <c r="G13" s="938">
        <f t="shared" si="0"/>
        <v>328</v>
      </c>
      <c r="H13" s="938">
        <f t="shared" si="0"/>
        <v>0</v>
      </c>
      <c r="I13" s="940">
        <f t="shared" si="0"/>
        <v>0</v>
      </c>
      <c r="J13" s="939">
        <f t="shared" si="0"/>
        <v>0</v>
      </c>
      <c r="K13" s="939">
        <f t="shared" si="0"/>
        <v>0</v>
      </c>
      <c r="L13" s="941">
        <f t="shared" si="0"/>
        <v>0</v>
      </c>
      <c r="M13" s="941">
        <f t="shared" si="0"/>
        <v>0</v>
      </c>
      <c r="N13" s="939">
        <f t="shared" si="0"/>
        <v>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197</v>
      </c>
      <c r="AC13" s="939">
        <f t="shared" si="1"/>
        <v>0</v>
      </c>
      <c r="AD13" s="939">
        <f t="shared" si="1"/>
        <v>0</v>
      </c>
      <c r="AE13" s="939">
        <f t="shared" si="1"/>
        <v>0</v>
      </c>
      <c r="AF13" s="939">
        <f t="shared" si="1"/>
        <v>320</v>
      </c>
      <c r="AG13" s="939">
        <f t="shared" si="1"/>
        <v>0</v>
      </c>
      <c r="AH13" s="939">
        <f t="shared" si="1"/>
        <v>0</v>
      </c>
      <c r="AI13" s="939">
        <f t="shared" si="1"/>
        <v>0</v>
      </c>
      <c r="AJ13" s="939">
        <f t="shared" si="1"/>
        <v>0</v>
      </c>
      <c r="AK13" s="939">
        <f t="shared" si="1"/>
        <v>0</v>
      </c>
      <c r="AL13" s="939">
        <f t="shared" si="1"/>
        <v>83</v>
      </c>
      <c r="AM13" s="939">
        <f t="shared" si="1"/>
        <v>88</v>
      </c>
      <c r="AN13" s="939">
        <f t="shared" si="1"/>
        <v>0</v>
      </c>
      <c r="AO13" s="939">
        <f t="shared" si="1"/>
        <v>0</v>
      </c>
      <c r="AP13" s="944">
        <f>IF(ISNUMBER(((Datos!L13/Datos!K13)*11)/factor_trimestre),((Datos!L13/Datos!K13)*11)/factor_trimestre," - ")</f>
        <v>6.4954930532023054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-0.60060975609756095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21</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6</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2.1168240245705836</v>
      </c>
      <c r="AQ18" s="944">
        <f>IF(ISNUMBER(((Datos!M18/Datos!L18)*11)/factor_trimestre),((Datos!M18/Datos!L18)*11)/factor_trimestre," - ")</f>
        <v>0.56488795743994846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4.1410184667039732E-2</v>
      </c>
      <c r="AW18" s="946">
        <f>IF(ISNUMBER((Datos!Q18-Datos!R18)/(Datos!S18-Datos!Q18+Datos!R18)),(Datos!Q18-Datos!R18)/(Datos!S18-Datos!Q18+Datos!R18)," - ")</f>
        <v>-8.336321262101111E-2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36</v>
      </c>
      <c r="F19" s="951">
        <f t="shared" si="4"/>
        <v>328</v>
      </c>
      <c r="G19" s="951">
        <f t="shared" si="4"/>
        <v>328</v>
      </c>
      <c r="H19" s="951">
        <f t="shared" si="4"/>
        <v>0</v>
      </c>
      <c r="I19" s="952">
        <f t="shared" si="4"/>
        <v>0</v>
      </c>
      <c r="J19" s="953">
        <f t="shared" si="4"/>
        <v>0</v>
      </c>
      <c r="K19" s="953">
        <f t="shared" si="4"/>
        <v>0</v>
      </c>
      <c r="L19" s="953">
        <f t="shared" si="4"/>
        <v>0</v>
      </c>
      <c r="M19" s="953">
        <f t="shared" si="4"/>
        <v>0</v>
      </c>
      <c r="N19" s="952">
        <f t="shared" si="4"/>
        <v>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197</v>
      </c>
      <c r="AC19" s="957">
        <f t="shared" si="5"/>
        <v>0</v>
      </c>
      <c r="AD19" s="957">
        <f t="shared" si="5"/>
        <v>0</v>
      </c>
      <c r="AE19" s="957">
        <f t="shared" si="5"/>
        <v>0</v>
      </c>
      <c r="AF19" s="958">
        <f t="shared" si="5"/>
        <v>320</v>
      </c>
      <c r="AG19" s="958">
        <f t="shared" si="5"/>
        <v>0</v>
      </c>
      <c r="AH19" s="958">
        <f t="shared" si="5"/>
        <v>0</v>
      </c>
      <c r="AI19" s="958">
        <f t="shared" si="5"/>
        <v>0</v>
      </c>
      <c r="AJ19" s="959">
        <f t="shared" si="5"/>
        <v>0</v>
      </c>
      <c r="AK19" s="959">
        <f t="shared" si="5"/>
        <v>0</v>
      </c>
      <c r="AL19" s="951">
        <f t="shared" si="5"/>
        <v>83</v>
      </c>
      <c r="AM19" s="951">
        <f t="shared" si="5"/>
        <v>88</v>
      </c>
      <c r="AN19" s="951">
        <f t="shared" si="5"/>
        <v>0</v>
      </c>
      <c r="AO19" s="951">
        <f t="shared" si="5"/>
        <v>0</v>
      </c>
      <c r="AP19" s="951">
        <f>IF(ISNUMBER(((Datos!L19/Datos!K19)*11)/factor_trimestre),((Datos!L19/Datos!K19)*11)/factor_trimestre," - ")</f>
        <v>4.1147601818350505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-0.60060975609756095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-2.6519800053877697E-2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218.66666666666666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15.231546211727817</v>
      </c>
      <c r="F21" s="736">
        <f>IF(ISNUMBER(STDEV(F8:F18)),STDEV(F8:F18),"-")</f>
        <v>189.37088829419724</v>
      </c>
      <c r="G21" s="737">
        <f>IF(ISNUMBER(STDEV(G8:G18)),STDEV(G8:G18),"-")</f>
        <v>189.37088829419724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113.73800303035627</v>
      </c>
      <c r="AC21" s="738">
        <f>IF(ISNUMBER(STDEV(AC8:AC18)),STDEV(AC8:AC18),"-")</f>
        <v>0</v>
      </c>
      <c r="AD21" s="741"/>
      <c r="AE21" s="741"/>
      <c r="AF21" s="741"/>
      <c r="AG21" s="741"/>
      <c r="AH21" s="741"/>
      <c r="AI21" s="741"/>
      <c r="AJ21" s="742">
        <f>IF(ISNUMBER(STDEV(AJ8:AJ18)),STDEV(AJ8:AJ18),"-")</f>
        <v>0</v>
      </c>
      <c r="AK21" s="744"/>
      <c r="AL21" s="736">
        <f>IF(ISNUMBER(STDEV(AL8:AL18)),STDEV(AL8:AL18),"-")</f>
        <v>47.920072342738933</v>
      </c>
      <c r="AM21" s="736"/>
      <c r="AN21" s="736">
        <f>IF(ISNUMBER(STDEV(AN8:AN18)),STDEV(AN8:AN18),"-")</f>
        <v>0</v>
      </c>
      <c r="AO21" s="742">
        <f>IF(ISNUMBER(STDEV(AO8:AO18)),STDEV(AO8:AO18),"-")</f>
        <v>0</v>
      </c>
      <c r="AP21" s="779">
        <f>IF(ISNUMBER(STDEV(AP8:AP18)),STDEV(AP8:AP18),"-")</f>
        <v>2.2136678038977595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KuP0TSVhPQ/O/UwMaWe3Y/2ubcWMngru0OjfPR7IjAxdDflTMe2xUgel/qYebnGyGq/t2UzJnZDa4z5q+D54A==" saltValue="76X6/shUhhZ79aJaClUU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VALENCIA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26</v>
      </c>
      <c r="D9" s="403">
        <f>Datos!BK9</f>
        <v>0</v>
      </c>
      <c r="E9" s="403">
        <f>Datos!AQ9</f>
        <v>26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6</v>
      </c>
      <c r="D10" s="403">
        <f>Datos!BK10</f>
        <v>0</v>
      </c>
      <c r="E10" s="403">
        <f>Datos!AQ10</f>
        <v>6</v>
      </c>
      <c r="F10" s="404">
        <f>IF(ISNUMBER(E10/Datos!BH10),E10/Datos!BH10," - ")</f>
        <v>1.2</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21</v>
      </c>
      <c r="D15" s="403">
        <f>Datos!BK15</f>
        <v>0</v>
      </c>
      <c r="E15" s="403">
        <f>Datos!AQ15</f>
        <v>21</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6</v>
      </c>
      <c r="D17" s="403">
        <f>Datos!BK17</f>
        <v>0</v>
      </c>
      <c r="E17" s="403">
        <f>Datos!AQ17</f>
        <v>6</v>
      </c>
      <c r="F17" s="404">
        <f>IF(ISNUMBER(E17/Datos!BH17),E17/Datos!BH17," - ")</f>
        <v>1.2</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OvBCY9c447Pw/5G8rdwKdTXpM9RTKb470da+1GGRTDWDjLCZvJBR/GtxCnPUwhN3EOeXizE49zwSKQEG5xytA==" saltValue="MRCTLo7NrixxTt6x6+rl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VALENCIA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26</v>
      </c>
      <c r="C9" s="410">
        <f>Datos!AQ9</f>
        <v>26</v>
      </c>
      <c r="D9" s="403">
        <f>IF(ISNUMBER(Datos!M9),Datos!M9," - ")</f>
        <v>3387</v>
      </c>
      <c r="E9" s="404">
        <f t="shared" ref="E9:E13" si="0">IF(ISNUMBER(D9/B9),D9/B9," - ")</f>
        <v>130.26923076923077</v>
      </c>
      <c r="F9" s="403">
        <f>IF(ISNUMBER(Datos!N9),Datos!N9," - ")</f>
        <v>7030</v>
      </c>
      <c r="G9" s="404">
        <f t="shared" ref="G9:G13" si="1">IF(ISNUMBER(F9/B9),F9/B9," - ")</f>
        <v>270.38461538461536</v>
      </c>
      <c r="H9" s="403">
        <f>IF(ISNUMBER(Datos!O9),Datos!O9," - ")</f>
        <v>5787</v>
      </c>
      <c r="I9" s="404">
        <f>IF(ISNUMBER(H9/B9),H9/B9," - ")</f>
        <v>222.57692307692307</v>
      </c>
    </row>
    <row r="10" spans="1:9">
      <c r="A10" s="402" t="str">
        <f>Datos!A10</f>
        <v>Jdos. Violencia contra la mujer</v>
      </c>
      <c r="B10" s="427">
        <f>Datos!AO10</f>
        <v>6</v>
      </c>
      <c r="C10" s="410">
        <f>Datos!AQ10</f>
        <v>6</v>
      </c>
      <c r="D10" s="403">
        <f>IF(ISNUMBER(Datos!M10),Datos!M10," - ")</f>
        <v>83</v>
      </c>
      <c r="E10" s="404">
        <f>IF(ISNUMBER(D10/B10),D10/B10," - ")</f>
        <v>13.833333333333334</v>
      </c>
      <c r="F10" s="403">
        <f>IF(ISNUMBER(Datos!N10),Datos!N10," - ")</f>
        <v>88</v>
      </c>
      <c r="G10" s="404">
        <f>IF(ISNUMBER(F10/B10),F10/B10," - ")</f>
        <v>14.666666666666666</v>
      </c>
      <c r="H10" s="403">
        <f>IF(ISNUMBER(Datos!O10),Datos!O10," - ")</f>
        <v>55</v>
      </c>
      <c r="I10" s="404">
        <f t="shared" ref="I10:I12" si="2">IF(ISNUMBER(H10/B10),H10/B10," - ")</f>
        <v>9.1666666666666661</v>
      </c>
    </row>
    <row r="11" spans="1:9">
      <c r="A11" s="402" t="str">
        <f>Datos!A11</f>
        <v xml:space="preserve">Jdos. Familia                                   </v>
      </c>
      <c r="B11" s="427">
        <f>Datos!AO11</f>
        <v>4</v>
      </c>
      <c r="C11" s="410">
        <f>Datos!AQ11</f>
        <v>4</v>
      </c>
      <c r="D11" s="403">
        <f>IF(ISNUMBER(Datos!M11),Datos!M11," - ")</f>
        <v>598</v>
      </c>
      <c r="E11" s="404">
        <f t="shared" si="0"/>
        <v>149.5</v>
      </c>
      <c r="F11" s="403">
        <f>IF(ISNUMBER(Datos!N11),Datos!N11," - ")</f>
        <v>479</v>
      </c>
      <c r="G11" s="404">
        <f t="shared" si="1"/>
        <v>119.75</v>
      </c>
      <c r="H11" s="403">
        <f>IF(ISNUMBER(Datos!O11),Datos!O11," - ")</f>
        <v>437</v>
      </c>
      <c r="I11" s="404">
        <f t="shared" si="2"/>
        <v>109.25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36</v>
      </c>
      <c r="C13" s="851">
        <f>Datos!AR13</f>
        <v>36</v>
      </c>
      <c r="D13" s="849">
        <f>SUBTOTAL(9,D9:D12)</f>
        <v>4068</v>
      </c>
      <c r="E13" s="850">
        <f t="shared" si="0"/>
        <v>113</v>
      </c>
      <c r="F13" s="849">
        <f>SUBTOTAL(9,F9:F12)</f>
        <v>7597</v>
      </c>
      <c r="G13" s="850">
        <f t="shared" si="1"/>
        <v>211.02777777777777</v>
      </c>
      <c r="H13" s="849">
        <f>SUBTOTAL(9,H9:H12)</f>
        <v>6279</v>
      </c>
      <c r="I13" s="850">
        <f>IF(ISNUMBER(H13/B13),H13/B13," - ")</f>
        <v>174.41666666666666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21</v>
      </c>
      <c r="C15" s="428">
        <f>Datos!AQ15</f>
        <v>21</v>
      </c>
      <c r="D15" s="403">
        <f>IF(ISNUMBER(Datos!M15),Datos!M15," - ")</f>
        <v>2202</v>
      </c>
      <c r="E15" s="404">
        <f t="shared" ref="E15:E18" si="3">IF(ISNUMBER(D15/B15),D15/B15," - ")</f>
        <v>104.85714285714286</v>
      </c>
      <c r="F15" s="403">
        <f>IF(ISNUMBER(Datos!N15),Datos!N15," - ")</f>
        <v>9129</v>
      </c>
      <c r="G15" s="404">
        <f t="shared" ref="G15:G18" si="4">IF(ISNUMBER(F15/B15),F15/B15," - ")</f>
        <v>434.71428571428572</v>
      </c>
      <c r="H15" s="403">
        <f>IF(ISNUMBER(Datos!O15),Datos!O15," - ")</f>
        <v>382</v>
      </c>
      <c r="I15" s="404">
        <f t="shared" ref="I15:I17" si="5">IF(ISNUMBER(H15/B15),H15/B15," - ")</f>
        <v>18.19047619047619</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6</v>
      </c>
      <c r="C17" s="428">
        <f>Datos!AQ17</f>
        <v>6</v>
      </c>
      <c r="D17" s="403">
        <f>IF(ISNUMBER(Datos!M17),Datos!M17," - ")</f>
        <v>134</v>
      </c>
      <c r="E17" s="404">
        <f>IF(ISNUMBER(D17/B17),D17/B17," - ")</f>
        <v>22.333333333333332</v>
      </c>
      <c r="F17" s="403">
        <f>IF(ISNUMBER(Datos!N17),Datos!N17," - ")</f>
        <v>1299</v>
      </c>
      <c r="G17" s="404">
        <f>IF(ISNUMBER(F17/B17),F17/B17," - ")</f>
        <v>216.5</v>
      </c>
      <c r="H17" s="403">
        <f>IF(ISNUMBER(Datos!O17),Datos!O17," - ")</f>
        <v>23</v>
      </c>
      <c r="I17" s="404">
        <f t="shared" si="5"/>
        <v>3.8333333333333335</v>
      </c>
    </row>
    <row r="18" spans="1:9" ht="14.25" thickTop="1" thickBot="1">
      <c r="A18" s="848" t="str">
        <f>Datos!A18</f>
        <v>TOTAL</v>
      </c>
      <c r="B18" s="849">
        <f>Datos!AO18</f>
        <v>27</v>
      </c>
      <c r="C18" s="851">
        <f>Datos!AR18</f>
        <v>27</v>
      </c>
      <c r="D18" s="849">
        <f>SUBTOTAL(9,D15:D17)</f>
        <v>2336</v>
      </c>
      <c r="E18" s="850">
        <f t="shared" si="3"/>
        <v>86.518518518518519</v>
      </c>
      <c r="F18" s="849">
        <f>SUBTOTAL(9,F15:F17)</f>
        <v>10428</v>
      </c>
      <c r="G18" s="850">
        <f t="shared" si="4"/>
        <v>386.22222222222223</v>
      </c>
      <c r="H18" s="849">
        <f>SUBTOTAL(9,H15:H17)</f>
        <v>405</v>
      </c>
      <c r="I18" s="850">
        <f>IF(ISNUMBER(H18/B18),H18/B18," - ")</f>
        <v>15</v>
      </c>
    </row>
    <row r="19" spans="1:9" ht="14.25" thickTop="1" thickBot="1">
      <c r="A19" s="793" t="str">
        <f>Datos!A19</f>
        <v>TOTAL JURISDICCIONES</v>
      </c>
      <c r="B19" s="794">
        <f>Datos!AP19</f>
        <v>57</v>
      </c>
      <c r="C19" s="794">
        <f>Datos!AR19</f>
        <v>57</v>
      </c>
      <c r="D19" s="794">
        <f>SUBTOTAL(9,D8:D18)</f>
        <v>6404</v>
      </c>
      <c r="E19" s="795">
        <f>IF(ISNUMBER(D19/B19),D19/B19," - ")</f>
        <v>112.35087719298245</v>
      </c>
      <c r="F19" s="794">
        <f>SUBTOTAL(9,F8:F18)</f>
        <v>18025</v>
      </c>
      <c r="G19" s="795">
        <f>IF(ISNUMBER(F19/B19),F19/B19," - ")</f>
        <v>316.22807017543857</v>
      </c>
      <c r="H19" s="794">
        <f>SUBTOTAL(9,H8:H18)</f>
        <v>6684</v>
      </c>
      <c r="I19" s="795">
        <f>IF(ISNUMBER(H19/B19),H19/B19," - ")</f>
        <v>117.26315789473684</v>
      </c>
    </row>
    <row r="22" spans="1:9">
      <c r="A22" s="391" t="str">
        <f>Criterios!A4</f>
        <v>Fecha Informe: 29 may. 2024</v>
      </c>
    </row>
    <row r="27" spans="1:9">
      <c r="A27" s="414"/>
    </row>
  </sheetData>
  <sheetProtection algorithmName="SHA-512" hashValue="/SztxnkeocnKMUdkvPyeJh9QTJlUzEXhAd/usQmy0MjkFD7w6A3tqdgalxkyR3w82vYj6L0FUL6gT4s5tBl9PQ==" saltValue="NXRLxVMRrvktI6vBNod2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VALENCIA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2416</v>
      </c>
      <c r="C9" s="434">
        <f>IF(ISNUMBER(Datos!Q9),Datos!Q9," - ")</f>
        <v>3291</v>
      </c>
      <c r="D9" s="408">
        <f>IF(ISNUMBER(Datos!R9),Datos!R9," - ")</f>
        <v>28796</v>
      </c>
    </row>
    <row r="10" spans="1:4">
      <c r="A10" s="402" t="str">
        <f>Datos!A10</f>
        <v>Jdos. Violencia contra la mujer</v>
      </c>
      <c r="B10" s="433">
        <f>IF(ISNUMBER(Datos!P10),Datos!P10," - ")</f>
        <v>39</v>
      </c>
      <c r="C10" s="434">
        <f>IF(ISNUMBER(Datos!Q10),Datos!Q10," - ")</f>
        <v>82</v>
      </c>
      <c r="D10" s="408">
        <f>IF(ISNUMBER(Datos!R10),Datos!R10," - ")</f>
        <v>257</v>
      </c>
    </row>
    <row r="11" spans="1:4">
      <c r="A11" s="402" t="str">
        <f>Datos!A11</f>
        <v xml:space="preserve">Jdos. Familia                                   </v>
      </c>
      <c r="B11" s="433">
        <f>IF(ISNUMBER(Datos!P11),Datos!P11," - ")</f>
        <v>139</v>
      </c>
      <c r="C11" s="434">
        <f>IF(ISNUMBER(Datos!Q11),Datos!Q11," - ")</f>
        <v>181</v>
      </c>
      <c r="D11" s="408">
        <f>IF(ISNUMBER(Datos!R11),Datos!R11," - ")</f>
        <v>1609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2594</v>
      </c>
      <c r="C13" s="853">
        <f>SUBTOTAL(9,C9:C12)</f>
        <v>3554</v>
      </c>
      <c r="D13" s="851">
        <f>SUBTOTAL(9,D9:D12)</f>
        <v>30662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961</v>
      </c>
      <c r="C15" s="434">
        <f>IF(ISNUMBER(Datos!Q15),Datos!Q15," - ")</f>
        <v>894</v>
      </c>
      <c r="D15" s="408">
        <f>IF(ISNUMBER(Datos!R15),Datos!R15," - ")</f>
        <v>1808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44</v>
      </c>
      <c r="C17" s="434">
        <f>IF(ISNUMBER(Datos!Q17),Datos!Q17," - ")</f>
        <v>37</v>
      </c>
      <c r="D17" s="408">
        <f>IF(ISNUMBER(Datos!R17),Datos!R17," - ")</f>
        <v>53</v>
      </c>
    </row>
    <row r="18" spans="1:4" ht="14.25" thickTop="1" thickBot="1">
      <c r="A18" s="848" t="str">
        <f>Datos!A18</f>
        <v>TOTAL</v>
      </c>
      <c r="B18" s="849">
        <f>SUBTOTAL(9,B15:B17)</f>
        <v>1005</v>
      </c>
      <c r="C18" s="853">
        <f>SUBTOTAL(9,C15:C17)</f>
        <v>931</v>
      </c>
      <c r="D18" s="851">
        <f>SUBTOTAL(9,D15:D17)</f>
        <v>1861</v>
      </c>
    </row>
    <row r="19" spans="1:4" ht="16.5" customHeight="1" thickTop="1" thickBot="1">
      <c r="A19" s="793" t="str">
        <f>Datos!A19</f>
        <v>TOTAL JURISDICCIONES</v>
      </c>
      <c r="B19" s="798">
        <f>SUBTOTAL(9,B8:B18)</f>
        <v>3599</v>
      </c>
      <c r="C19" s="799">
        <f>SUBTOTAL(9,C8:C18)</f>
        <v>4485</v>
      </c>
      <c r="D19" s="800">
        <f>SUBTOTAL(9,D8:D18)</f>
        <v>32523</v>
      </c>
    </row>
    <row r="20" spans="1:4" ht="7.5" customHeight="1"/>
    <row r="21" spans="1:4" ht="6" customHeight="1"/>
    <row r="22" spans="1:4">
      <c r="A22" s="391" t="str">
        <f>Criterios!A4</f>
        <v>Fecha Informe: 29 may. 2024</v>
      </c>
    </row>
    <row r="27" spans="1:4">
      <c r="A27" s="414"/>
    </row>
  </sheetData>
  <sheetProtection algorithmName="SHA-512" hashValue="HJj/e/U9wbBxxphyWA5XfMeYRMIuboZ30Y/f9MTRqVhTVYRn5XTP2PWu2yzC3goEangg6nGUhXZoqPek65Tfgg==" saltValue="FBB9SpGY4zQM8RrTTsjb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VALENCIA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3.4016093635698609E-2</v>
      </c>
      <c r="C9" s="456">
        <f>IF(ISNUMBER(
   IF(J_V="SI",(Datos!J9-Datos!T9)/Datos!T9,(Datos!J9+Datos!Z9-(Datos!T9+Datos!AH9))/(Datos!T9+Datos!AH9))
     ),IF(J_V="SI",(Datos!J9-Datos!T9)/Datos!T9,(Datos!J9+Datos!Z9-(Datos!T9+Datos!AH9))/(Datos!T9+Datos!AH9))," - ")</f>
        <v>0.39830985915492956</v>
      </c>
      <c r="D9" s="456">
        <f>IF(ISNUMBER(
   IF(J_V="SI",(Datos!K9-Datos!U9)/Datos!U9,(Datos!K9+Datos!AA9-(Datos!U9+Datos!AI9))/(Datos!U9+Datos!AI9))
     ),IF(J_V="SI",(Datos!K9-Datos!U9)/Datos!U9,(Datos!K9+Datos!AA9-(Datos!U9+Datos!AI9))/(Datos!U9+Datos!AI9))," - ")</f>
        <v>9.8018769551616262E-3</v>
      </c>
      <c r="E9" s="456">
        <f>IF(ISNUMBER(
   IF(J_V="SI",(Datos!L9-Datos!V9)/Datos!V9,(Datos!L9+Datos!AB9-(Datos!V9+Datos!AJ9))/(Datos!V9+Datos!AJ9))
     ),IF(J_V="SI",(Datos!L9-Datos!V9)/Datos!V9,(Datos!L9+Datos!AB9-(Datos!V9+Datos!AJ9))/(Datos!V9+Datos!AJ9))," - ")</f>
        <v>0.27012222540162695</v>
      </c>
      <c r="F9" s="456">
        <f>IF(ISNUMBER((Datos!M9-Datos!W9)/Datos!W9),(Datos!M9-Datos!W9)/Datos!W9," - ")</f>
        <v>0.22584147665580889</v>
      </c>
      <c r="G9" s="457">
        <f>IF(ISNUMBER((Datos!N9-Datos!X9)/Datos!X9),(Datos!N9-Datos!X9)/Datos!X9," - ")</f>
        <v>-1.4025245441795231E-2</v>
      </c>
      <c r="H9" s="455">
        <f>IF(ISNUMBER(((NºAsuntos!G9/NºAsuntos!E9)-Datos!BD9)/Datos!BD9),((NºAsuntos!G9/NºAsuntos!E9)-Datos!BD9)/Datos!BD9," - ")</f>
        <v>-0.27784112345068018</v>
      </c>
      <c r="I9" s="456">
        <f>IF(ISNUMBER(((NºAsuntos!I9/NºAsuntos!G9)-Datos!BE9)/Datos!BE9),((NºAsuntos!I9/NºAsuntos!G9)-Datos!BE9)/Datos!BE9," - ")</f>
        <v>0.25779348839339156</v>
      </c>
      <c r="J9" s="461">
        <f>IF(ISNUMBER((('Resol  Asuntos'!D9/NºAsuntos!G9)-Datos!BF9)/Datos!BF9),(('Resol  Asuntos'!D9/NºAsuntos!G9)-Datos!BF9)/Datos!BF9," - ")</f>
        <v>-0.52957597529332223</v>
      </c>
      <c r="K9" s="462">
        <f>IF(ISNUMBER((((NºAsuntos!C9+NºAsuntos!E9)/NºAsuntos!G9)-Datos!BG9)/Datos!BG9),(((NºAsuntos!C9+NºAsuntos!E9)/NºAsuntos!G9)-Datos!BG9)/Datos!BG9," - ")</f>
        <v>0.15598862838036756</v>
      </c>
    </row>
    <row r="10" spans="1:11">
      <c r="A10" s="402" t="str">
        <f>Datos!A10</f>
        <v>Jdos. Violencia contra la mujer</v>
      </c>
      <c r="B10" s="455">
        <f>IF(ISNUMBER((Datos!I10-Datos!S10)/Datos!S10),(Datos!I10-Datos!S10)/Datos!S10," - ")</f>
        <v>0.19708029197080293</v>
      </c>
      <c r="C10" s="456">
        <f>IF(ISNUMBER((Datos!J10-Datos!T10)/Datos!T10),(Datos!J10-Datos!T10)/Datos!T10," - ")</f>
        <v>5.5865921787709494E-2</v>
      </c>
      <c r="D10" s="456">
        <f>IF(ISNUMBER((Datos!K10-Datos!U10)/Datos!U10),(Datos!K10-Datos!U10)/Datos!U10," - ")</f>
        <v>0.17964071856287425</v>
      </c>
      <c r="E10" s="456">
        <f>IF(ISNUMBER((Datos!L10-Datos!V10)/Datos!V10),(Datos!L10-Datos!V10)/Datos!V10," - ")</f>
        <v>0.22137404580152673</v>
      </c>
      <c r="F10" s="456">
        <f>IF(ISNUMBER((Datos!M10-Datos!W10)/Datos!W10),(Datos!M10-Datos!W10)/Datos!W10," - ")</f>
        <v>0.62745098039215685</v>
      </c>
      <c r="G10" s="457">
        <f>IF(ISNUMBER((Datos!N10-Datos!X10)/Datos!X10),(Datos!N10-Datos!X10)/Datos!X10," - ")</f>
        <v>2.3255813953488372E-2</v>
      </c>
      <c r="H10" s="455">
        <f>IF(ISNUMBER(((NºAsuntos!G10/NºAsuntos!E10)-Datos!BD10)/Datos!BD10),((NºAsuntos!G10/NºAsuntos!E10)-Datos!BD10)/Datos!BD10," - ")</f>
        <v>0.11722586572885979</v>
      </c>
      <c r="I10" s="456">
        <f>IF(ISNUMBER(((NºAsuntos!I10/NºAsuntos!G10)-Datos!BE10)/Datos!BE10),((NºAsuntos!I10/NºAsuntos!G10)-Datos!BE10)/Datos!BE10," - ")</f>
        <v>3.5377998217537912E-2</v>
      </c>
      <c r="J10" s="461">
        <f>IF(ISNUMBER((('Resol  Asuntos'!D10/NºAsuntos!G10)-Datos!BF10)/Datos!BF10),(('Resol  Asuntos'!D10/NºAsuntos!G10)-Datos!BF10)/Datos!BF10," - ")</f>
        <v>0.37961580571314807</v>
      </c>
      <c r="K10" s="462">
        <f>IF(ISNUMBER((((NºAsuntos!C10+NºAsuntos!E10)/NºAsuntos!G10)-Datos!BG10)/Datos!BG10),(((NºAsuntos!C10+NºAsuntos!E10)/NºAsuntos!G10)-Datos!BG10)/Datos!BG10," - ")</f>
        <v>-3.2518685357627086E-2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-9.1143151390319255E-2</v>
      </c>
      <c r="C11" s="456">
        <f>IF(ISNUMBER(
   IF(J_V="SI",(Datos!J11-Datos!T11)/Datos!T11,(Datos!J11+Datos!Z11-(Datos!T11+Datos!AH11))/(Datos!T11+Datos!AH11))
     ),IF(J_V="SI",(Datos!J11-Datos!T11)/Datos!T11,(Datos!J11+Datos!Z11-(Datos!T11+Datos!AH11))/(Datos!T11+Datos!AH11))," - ")</f>
        <v>-8.9950808151791989E-2</v>
      </c>
      <c r="D11" s="456">
        <f>IF(ISNUMBER(
   IF(J_V="SI",(Datos!K11-Datos!U11)/Datos!U11,(Datos!K11+Datos!AA11-(Datos!U11+Datos!AI11))/(Datos!U11+Datos!AI11))
     ),IF(J_V="SI",(Datos!K11-Datos!U11)/Datos!U11,(Datos!K11+Datos!AA11-(Datos!U11+Datos!AI11))/(Datos!U11+Datos!AI11))," - ")</f>
        <v>1.1790714812085483E-2</v>
      </c>
      <c r="E11" s="456">
        <f>IF(ISNUMBER(
   IF(J_V="SI",(Datos!L11-Datos!V11)/Datos!V11,(Datos!L11+Datos!AB11-(Datos!V11+Datos!AJ11))/(Datos!V11+Datos!AJ11))
     ),IF(J_V="SI",(Datos!L11-Datos!V11)/Datos!V11,(Datos!L11+Datos!AB11-(Datos!V11+Datos!AJ11))/(Datos!V11+Datos!AJ11))," - ")</f>
        <v>-0.10646186440677965</v>
      </c>
      <c r="F11" s="456">
        <f>IF(ISNUMBER((Datos!M11-Datos!W11)/Datos!W11),(Datos!M11-Datos!W11)/Datos!W11," - ")</f>
        <v>8.4317032040472171E-3</v>
      </c>
      <c r="G11" s="457">
        <f>IF(ISNUMBER((Datos!N11-Datos!X11)/Datos!X11),(Datos!N11-Datos!X11)/Datos!X11," - ")</f>
        <v>0.10623556581986143</v>
      </c>
      <c r="H11" s="455">
        <f>IF(ISNUMBER(((NºAsuntos!G11/NºAsuntos!E11)-Datos!BD11)/Datos!BD11),((NºAsuntos!G11/NºAsuntos!E11)-Datos!BD11)/Datos!BD11," - ")</f>
        <v>0.11179782793636882</v>
      </c>
      <c r="I11" s="456">
        <f>IF(ISNUMBER(((NºAsuntos!I11/NºAsuntos!G11)-Datos!BE11)/Datos!BE11),((NºAsuntos!I11/NºAsuntos!G11)-Datos!BE11)/Datos!BE11," - ")</f>
        <v>-0.11687454479242525</v>
      </c>
      <c r="J11" s="461">
        <f>IF(ISNUMBER((('Resol  Asuntos'!D11/NºAsuntos!G11)-Datos!BF11)/Datos!BF11),(('Resol  Asuntos'!D11/NºAsuntos!G11)-Datos!BF11)/Datos!BF11," - ")</f>
        <v>0.36496840249685036</v>
      </c>
      <c r="K11" s="462">
        <f>IF(ISNUMBER((((NºAsuntos!C11+NºAsuntos!E11)/NºAsuntos!G11)-Datos!BG11)/Datos!BG11),(((NºAsuntos!C11+NºAsuntos!E11)/NºAsuntos!G11)-Datos!BG11)/Datos!BG11," - ")</f>
        <v>-0.10123600016882583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2.6619938856162852E-2</v>
      </c>
      <c r="C13" s="855">
        <f>IF(ISNUMBER(
   IF(J_V="SI",(Datos!J13-Datos!T13)/Datos!T13,(Datos!J13+Datos!Z13-(Datos!T13+Datos!AH13))/(Datos!T13+Datos!AH13))
     ),IF(J_V="SI",(Datos!J13-Datos!T13)/Datos!T13,(Datos!J13+Datos!Z13-(Datos!T13+Datos!AH13))/(Datos!T13+Datos!AH13))," - ")</f>
        <v>0.35046196683964054</v>
      </c>
      <c r="D13" s="855">
        <f>IF(ISNUMBER(
   IF(J_V="SI",(Datos!K13-Datos!U13)/Datos!U13,(Datos!K13+Datos!AA13-(Datos!U13+Datos!AI13))/(Datos!U13+Datos!AI13))
     ),IF(J_V="SI",(Datos!K13-Datos!U13)/Datos!U13,(Datos!K13+Datos!AA13-(Datos!U13+Datos!AI13))/(Datos!U13+Datos!AI13))," - ")</f>
        <v>1.1754352882016469E-2</v>
      </c>
      <c r="E13" s="855">
        <f>IF(ISNUMBER(
   IF(J_V="SI",(Datos!L13-Datos!V13)/Datos!V13,(Datos!L13+Datos!AB13-(Datos!V13+Datos!AJ13))/(Datos!V13+Datos!AJ13))
     ),IF(J_V="SI",(Datos!L13-Datos!V13)/Datos!V13,(Datos!L13+Datos!AB13-(Datos!V13+Datos!AJ13))/(Datos!V13+Datos!AJ13))," - ")</f>
        <v>0.24292638935858415</v>
      </c>
      <c r="F13" s="856">
        <f>IF(ISNUMBER((Datos!M13-Datos!W13)/Datos!W13),(Datos!M13-Datos!W13)/Datos!W13," - ")</f>
        <v>0.19401232756090403</v>
      </c>
      <c r="G13" s="857">
        <f>IF(ISNUMBER((Datos!N13-Datos!X13)/Datos!X13),(Datos!N13-Datos!X13)/Datos!X13," - ")</f>
        <v>-6.7982742842201595E-3</v>
      </c>
      <c r="H13" s="857">
        <f>IF(ISNUMBER(((NºAsuntos!G13/NºAsuntos!E13)-Datos!BD13)/Datos!BD13),((NºAsuntos!G13/NºAsuntos!E13)-Datos!BD13)/Datos!BD13," - ")</f>
        <v>-0.25080870270657801</v>
      </c>
      <c r="I13" s="857">
        <f>IF(ISNUMBER(((NºAsuntos!I13/NºAsuntos!G13)-Datos!BE13)/Datos!BE13),((NºAsuntos!I13/NºAsuntos!G13)-Datos!BE13)/Datos!BE13," - ")</f>
        <v>0.22848632755378456</v>
      </c>
      <c r="J13" s="857">
        <f>IF(ISNUMBER((('Resol  Asuntos'!D13/NºAsuntos!G13)-Datos!BF13)/Datos!BF13),(('Resol  Asuntos'!D13/NºAsuntos!G13)-Datos!BF13)/Datos!BF13," - ")</f>
        <v>-0.47192818267698772</v>
      </c>
      <c r="K13" s="857">
        <f>IF(ISNUMBER((((NºAsuntos!C13+NºAsuntos!E13)/NºAsuntos!G13)-Datos!BG13)/Datos!BG13),(((NºAsuntos!C13+NºAsuntos!E13)/NºAsuntos!G13)-Datos!BG13)/Datos!BG13," - ")</f>
        <v>0.13335606084775128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0.23495540250649205</v>
      </c>
      <c r="C15" s="456">
        <f>IF(ISNUMBER(
   IF(D_I="SI",(Datos!J15-Datos!T15)/Datos!T15,(Datos!J15+Datos!AD15-(Datos!T15+Datos!AL15))/(Datos!T15+Datos!AL15))
     ),IF(D_I="SI",(Datos!J15-Datos!T15)/Datos!T15,(Datos!J15+Datos!AD15-(Datos!T15+Datos!AL15))/(Datos!T15+Datos!AL15))," - ")</f>
        <v>0.19000540665791302</v>
      </c>
      <c r="D15" s="456">
        <f>IF(ISNUMBER(
   IF(D_I="SI",(Datos!K15-Datos!U15)/Datos!U15,(Datos!K15+Datos!AE15-(Datos!U15+Datos!AM15))/(Datos!U15+Datos!AM15))
     ),IF(D_I="SI",(Datos!K15-Datos!U15)/Datos!U15,(Datos!K15+Datos!AE15-(Datos!U15+Datos!AM15))/(Datos!U15+Datos!AM15))," - ")</f>
        <v>0.19704319704319703</v>
      </c>
      <c r="E15" s="456">
        <f>IF(ISNUMBER(
   IF(D_I="SI",(Datos!L15-Datos!V15)/Datos!V15,(Datos!L15+Datos!AF15-(Datos!V15+Datos!AN15))/(Datos!V15+Datos!AN15))
     ),IF(D_I="SI",(Datos!L15-Datos!V15)/Datos!V15,(Datos!L15+Datos!AF15-(Datos!V15+Datos!AN15))/(Datos!V15+Datos!AN15))," - ")</f>
        <v>0.19599912549191081</v>
      </c>
      <c r="F15" s="456">
        <f>IF(ISNUMBER((Datos!M15-Datos!W15)/Datos!W15),(Datos!M15-Datos!W15)/Datos!W15," - ")</f>
        <v>0.13975155279503104</v>
      </c>
      <c r="G15" s="457">
        <f>IF(ISNUMBER((Datos!N15-Datos!X15)/Datos!X15),(Datos!N15-Datos!X15)/Datos!X15," - ")</f>
        <v>0.23783050847457626</v>
      </c>
      <c r="H15" s="455">
        <f>IF(ISNUMBER(((NºAsuntos!G15/NºAsuntos!E15)-Datos!BD15)/Datos!BD15),((NºAsuntos!G15/NºAsuntos!E15)-Datos!BD15)/Datos!BD15," - ")</f>
        <v>5.914082697362987E-3</v>
      </c>
      <c r="I15" s="456">
        <f>IF(ISNUMBER(((NºAsuntos!I15/NºAsuntos!G15)-Datos!BE15)/Datos!BE15),((NºAsuntos!I15/NºAsuntos!G15)-Datos!BE15)/Datos!BE15," - ")</f>
        <v>-8.7220875058255441E-4</v>
      </c>
      <c r="J15" s="461">
        <f>IF(ISNUMBER((('Resol  Asuntos'!D15/NºAsuntos!G15)-Datos!BF15)/Datos!BF15),(('Resol  Asuntos'!D15/NºAsuntos!G15)-Datos!BF15)/Datos!BF15," - ")</f>
        <v>-4.7860966412641974E-2</v>
      </c>
      <c r="K15" s="462">
        <f>IF(ISNUMBER((((NºAsuntos!C15+NºAsuntos!E15)/NºAsuntos!G15)-Datos!BG15)/Datos!BG15),(((NºAsuntos!C15+NºAsuntos!E15)/NºAsuntos!G15)-Datos!BG15)/Datos!BG15," - ")</f>
        <v>9.3742160694686352E-3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9.9342585829072322E-2</v>
      </c>
      <c r="C17" s="456">
        <f>IF(ISNUMBER(
   IF(D_I="SI",(Datos!J17-Datos!T17)/Datos!T17,(Datos!J17+Datos!AD17-(Datos!T17+Datos!AL17))/(Datos!T17+Datos!AL17))
     ),IF(D_I="SI",(Datos!J17-Datos!T17)/Datos!T17,(Datos!J17+Datos!AD17-(Datos!T17+Datos!AL17))/(Datos!T17+Datos!AL17))," - ")</f>
        <v>-3.86352232814852E-2</v>
      </c>
      <c r="D17" s="456">
        <f>IF(ISNUMBER(
   IF(D_I="SI",(Datos!K17-Datos!U17)/Datos!U17,(Datos!K17+Datos!AE17-(Datos!U17+Datos!AM17))/(Datos!U17+Datos!AM17))
     ),IF(D_I="SI",(Datos!K17-Datos!U17)/Datos!U17,(Datos!K17+Datos!AE17-(Datos!U17+Datos!AM17))/(Datos!U17+Datos!AM17))," - ")</f>
        <v>5.0567595459236329E-2</v>
      </c>
      <c r="E17" s="456">
        <f>IF(ISNUMBER(
   IF(D_I="SI",(Datos!L17-Datos!V17)/Datos!V17,(Datos!L17+Datos!AF17-(Datos!V17+Datos!AN17))/(Datos!V17+Datos!AN17))
     ),IF(D_I="SI",(Datos!L17-Datos!V17)/Datos!V17,(Datos!L17+Datos!AF17-(Datos!V17+Datos!AN17))/(Datos!V17+Datos!AN17))," - ")</f>
        <v>2.8792134831460675E-2</v>
      </c>
      <c r="F17" s="456">
        <f>IF(ISNUMBER((Datos!M17-Datos!W17)/Datos!W17),(Datos!M17-Datos!W17)/Datos!W17," - ")</f>
        <v>0.35353535353535354</v>
      </c>
      <c r="G17" s="457">
        <f>IF(ISNUMBER((Datos!N17-Datos!X17)/Datos!X17),(Datos!N17-Datos!X17)/Datos!X17," - ")</f>
        <v>3.0952380952380953E-2</v>
      </c>
      <c r="H17" s="455">
        <f>IF(ISNUMBER(((NºAsuntos!G17/NºAsuntos!E17)-Datos!BD17)/Datos!BD17),((NºAsuntos!G17/NºAsuntos!E17)-Datos!BD17)/Datos!BD17," - ")</f>
        <v>9.2787691936460318E-2</v>
      </c>
      <c r="I17" s="456">
        <f>IF(ISNUMBER(((NºAsuntos!I17/NºAsuntos!G17)-Datos!BE17)/Datos!BE17),((NºAsuntos!I17/NºAsuntos!G17)-Datos!BE17)/Datos!BE17," - ")</f>
        <v>-2.0727329418776537E-2</v>
      </c>
      <c r="J17" s="461">
        <f>IF(ISNUMBER((('Resol  Asuntos'!D17/NºAsuntos!G17)-Datos!BF17)/Datos!BF17),(('Resol  Asuntos'!D17/NºAsuntos!G17)-Datos!BF17)/Datos!BF17," - ")</f>
        <v>0.28838483062451631</v>
      </c>
      <c r="K17" s="462">
        <f>IF(ISNUMBER((((NºAsuntos!C17+NºAsuntos!E17)/NºAsuntos!G17)-Datos!BG17)/Datos!BG17),(((NºAsuntos!C17+NºAsuntos!E17)/NºAsuntos!G17)-Datos!BG17)/Datos!BG17," - ")</f>
        <v>-3.1429217569764405E-2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0.21680031292783103</v>
      </c>
      <c r="C18" s="855">
        <f>IF(ISNUMBER(
   IF(Criterios!B14="SI",(Datos!J18-Datos!T18)/Datos!T18,(Datos!J18+Datos!AD18-(Datos!T18+Datos!AL18))/(Datos!T18+Datos!AL18))
     ),IF(Criterios!B14="SI",(Datos!J18-Datos!T18)/Datos!T18,(Datos!J18+Datos!AD18-(Datos!T18+Datos!AL18))/(Datos!T18+Datos!AL18))," - ")</f>
        <v>0.15950468540829987</v>
      </c>
      <c r="D18" s="855">
        <f>IF(ISNUMBER(
   IF(Criterios!B14="SI",(Datos!K18-Datos!U18)/Datos!U18,(Datos!K18+Datos!AE18-(Datos!U18+Datos!AM18))/(Datos!U18+Datos!AM18))
     ),IF(Criterios!B14="SI",(Datos!K18-Datos!U18)/Datos!U18,(Datos!K18+Datos!AE18-(Datos!U18+Datos!AM18))/(Datos!U18+Datos!AM18))," - ")</f>
        <v>0.17802345058626465</v>
      </c>
      <c r="E18" s="855">
        <f>IF(ISNUMBER(
   IF(Criterios!B14="SI",(Datos!L18-Datos!V18)/Datos!V18,(Datos!L18+Datos!AF18-(Datos!V18+Datos!AN18))/(Datos!V18+Datos!AN18))
     ),IF(Criterios!B14="SI",(Datos!L18-Datos!V18)/Datos!V18,(Datos!L18+Datos!AF18-(Datos!V18+Datos!AN18))/(Datos!V18+Datos!AN18))," - ")</f>
        <v>0.17347710934544078</v>
      </c>
      <c r="F18" s="856">
        <f>IF(ISNUMBER((Datos!M18-Datos!W18)/Datos!W18),(Datos!M18-Datos!W18)/Datos!W18," - ")</f>
        <v>0.1501723289020187</v>
      </c>
      <c r="G18" s="857">
        <f>IF(ISNUMBER((Datos!N18-Datos!X18)/Datos!X18),(Datos!N18-Datos!X18)/Datos!X18," - ")</f>
        <v>0.20764331210191084</v>
      </c>
      <c r="H18" s="857">
        <f>IF(ISNUMBER(((NºAsuntos!G18/NºAsuntos!E18)-Datos!BD18)/Datos!BD18),((NºAsuntos!G18/NºAsuntos!E18)-Datos!BD18)/Datos!BD18," - ")</f>
        <v>1.5971272398475612E-2</v>
      </c>
      <c r="I18" s="857">
        <f>IF(ISNUMBER(((NºAsuntos!I18/NºAsuntos!G18)-Datos!BE18)/Datos!BE18),((NºAsuntos!I18/NºAsuntos!G18)-Datos!BE18)/Datos!BE18," - ")</f>
        <v>-3.859296042503518E-3</v>
      </c>
      <c r="J18" s="857">
        <f>IF(ISNUMBER((('Resol  Asuntos'!D18/NºAsuntos!G18)-Datos!BF18)/Datos!BF18),(('Resol  Asuntos'!D18/NºAsuntos!G18)-Datos!BF18)/Datos!BF18," - ")</f>
        <v>-2.3642247249310151E-2</v>
      </c>
      <c r="K18" s="857">
        <f>IF(ISNUMBER((((NºAsuntos!C18+NºAsuntos!E18)/NºAsuntos!G18)-Datos!BG18)/Datos!BG18),(((NºAsuntos!C18+NºAsuntos!E18)/NºAsuntos!G18)-Datos!BG18)/Datos!BG18," - ")</f>
        <v>4.0430845295755871E-3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7.9113582379615632E-2</v>
      </c>
      <c r="C19" s="802">
        <f>IF(ISNUMBER(
   IF(J_V="SI",(Datos!J19-Datos!T19)/Datos!T19,(Datos!J19+Datos!Z19-(Datos!T19+Datos!AH19))/(Datos!T19+Datos!AH19))
     ),IF(J_V="SI",(Datos!J19-Datos!T19)/Datos!T19,(Datos!J19+Datos!Z19-(Datos!T19+Datos!AH19))/(Datos!T19+Datos!AH19))," - ")</f>
        <v>0.25766052956866825</v>
      </c>
      <c r="D19" s="802">
        <f>IF(ISNUMBER(
   IF(J_V="SI",(Datos!K19-Datos!U19)/Datos!U19,(Datos!K19+Datos!AA19-(Datos!U19+Datos!AI19))/(Datos!U19+Datos!AI19))
     ),IF(J_V="SI",(Datos!K19-Datos!U19)/Datos!U19,(Datos!K19+Datos!AA19-(Datos!U19+Datos!AI19))/(Datos!U19+Datos!AI19))," - ")</f>
        <v>9.2235843549328664E-2</v>
      </c>
      <c r="E19" s="802">
        <f>IF(ISNUMBER(
   IF(J_V="SI",(Datos!L19-Datos!V19)/Datos!V19,(Datos!L19+Datos!AB19-(Datos!V19+Datos!AJ19))/(Datos!V19+Datos!AJ19))
     ),IF(J_V="SI",(Datos!L19-Datos!V19)/Datos!V19,(Datos!L19+Datos!AB19-(Datos!V19+Datos!AJ19))/(Datos!V19+Datos!AJ19))," - ")</f>
        <v>0.22318139034556944</v>
      </c>
      <c r="F19" s="803">
        <f>IF(ISNUMBER((Datos!M19-Datos!W19)/Datos!W19),(Datos!M19-Datos!W19)/Datos!W19," - ")</f>
        <v>0.17763883780801765</v>
      </c>
      <c r="G19" s="804">
        <f>IF(ISNUMBER((Datos!N19-Datos!X19)/Datos!X19),(Datos!N19-Datos!X19)/Datos!X19," - ")</f>
        <v>0.10691476295750429</v>
      </c>
      <c r="H19" s="805">
        <f>IF(ISNUMBER((Tasas!B19-Datos!BD19)/Datos!BD19),(Tasas!B19-Datos!BD19)/Datos!BD19," - ")</f>
        <v>-0.13153365485364657</v>
      </c>
      <c r="I19" s="806">
        <f>IF(ISNUMBER((Tasas!C19-Datos!BE19)/Datos!BE19),(Tasas!C19-Datos!BE19)/Datos!BE19," - ")</f>
        <v>0.11988761179153423</v>
      </c>
      <c r="J19" s="807">
        <f>IF(ISNUMBER((Tasas!D19-Datos!BF19)/Datos!BF19),(Tasas!D19-Datos!BF19)/Datos!BF19," - ")</f>
        <v>-0.39209926744707008</v>
      </c>
      <c r="K19" s="807">
        <f>IF(ISNUMBER((Tasas!E19-Datos!BG19)/Datos!BG19),(Tasas!E19-Datos!BG19)/Datos!BG19," - ")</f>
        <v>6.21173210032019E-2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nksuJPbYAS+YM5NmkdualXZnuiSSfLsHRuO90ptF8YGBih/h54cvfUIxTaXlQfRd1HNn4qDDLT/jvIR9Eo69Q==" saltValue="x3eWlMFDJg0Db1z3hcLe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VALENCIA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0.73156728444802577</v>
      </c>
      <c r="C9" s="443">
        <f>IF(ISNUMBER(NºAsuntos!I9/NºAsuntos!G9),NºAsuntos!I9/NºAsuntos!G9," - ")</f>
        <v>2.1389921520033046</v>
      </c>
      <c r="D9" s="444">
        <f>IF(ISNUMBER('Resol  Asuntos'!D9/NºAsuntos!G9),'Resol  Asuntos'!D9/NºAsuntos!G9," - ")</f>
        <v>0.23316811235026849</v>
      </c>
      <c r="E9" s="445">
        <f>IF(ISNUMBER((NºAsuntos!C9+NºAsuntos!E9)/NºAsuntos!G9),(NºAsuntos!C9+NºAsuntos!E9)/NºAsuntos!G9," - ")</f>
        <v>3.1184772132727523</v>
      </c>
      <c r="G9" s="463"/>
    </row>
    <row r="10" spans="1:7">
      <c r="A10" s="402" t="str">
        <f>Datos!A10</f>
        <v>Jdos. Violencia contra la mujer</v>
      </c>
      <c r="B10" s="442">
        <f>IF(ISNUMBER(NºAsuntos!G10/NºAsuntos!E10),NºAsuntos!G10/NºAsuntos!E10," - ")</f>
        <v>1.0423280423280423</v>
      </c>
      <c r="C10" s="443">
        <f>IF(ISNUMBER(NºAsuntos!I10/NºAsuntos!G10),NºAsuntos!I10/NºAsuntos!G10," - ")</f>
        <v>1.6243654822335025</v>
      </c>
      <c r="D10" s="444">
        <f>IF(ISNUMBER('Resol  Asuntos'!D10/NºAsuntos!G10),'Resol  Asuntos'!D10/NºAsuntos!G10," - ")</f>
        <v>0.42131979695431471</v>
      </c>
      <c r="E10" s="445">
        <f>IF(ISNUMBER((NºAsuntos!C10+NºAsuntos!E10)/NºAsuntos!G10),(NºAsuntos!C10+NºAsuntos!E10)/NºAsuntos!G10," - ")</f>
        <v>2.6243654822335025</v>
      </c>
      <c r="G10" s="463"/>
    </row>
    <row r="11" spans="1:7">
      <c r="A11" s="402" t="str">
        <f>Datos!A11</f>
        <v xml:space="preserve">Jdos. Familia                                   </v>
      </c>
      <c r="B11" s="442">
        <f>IF(ISNUMBER(NºAsuntos!G11/NºAsuntos!E11),NºAsuntos!G11/NºAsuntos!E11," - ")</f>
        <v>1.0602316602316602</v>
      </c>
      <c r="C11" s="443">
        <f>IF(ISNUMBER(NºAsuntos!I11/NºAsuntos!G11),NºAsuntos!I11/NºAsuntos!G11," - ")</f>
        <v>1.2286962855061909</v>
      </c>
      <c r="D11" s="444">
        <f>IF(ISNUMBER('Resol  Asuntos'!D11/NºAsuntos!G11),'Resol  Asuntos'!D11/NºAsuntos!G11," - ")</f>
        <v>0.43554260742898759</v>
      </c>
      <c r="E11" s="445">
        <f>IF(ISNUMBER((NºAsuntos!C11+NºAsuntos!E11)/NºAsuntos!G11),(NºAsuntos!C11+NºAsuntos!E11)/NºAsuntos!G11," - ")</f>
        <v>2.2286962855061909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0.75426429240862236</v>
      </c>
      <c r="C13" s="859">
        <f>IF(ISNUMBER(NºAsuntos!I13/NºAsuntos!G13),NºAsuntos!I13/NºAsuntos!G13," - ")</f>
        <v>2.0550447316103382</v>
      </c>
      <c r="D13" s="860">
        <f>IF(ISNUMBER('Resol  Asuntos'!D13/NºAsuntos!G13),'Resol  Asuntos'!D13/NºAsuntos!G13," - ")</f>
        <v>0.25273359840954274</v>
      </c>
      <c r="E13" s="861">
        <f>IF(ISNUMBER((NºAsuntos!C13+NºAsuntos!E13)/NºAsuntos!G13),(NºAsuntos!C13+NºAsuntos!E13)/NºAsuntos!G13," - ")</f>
        <v>3.036530815109344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1.0090218731745311</v>
      </c>
      <c r="C15" s="443">
        <f>IF(ISNUMBER(NºAsuntos!I15/NºAsuntos!G15),NºAsuntos!I15/NºAsuntos!G15," - ")</f>
        <v>0.70378232342724811</v>
      </c>
      <c r="D15" s="444">
        <f>IF(ISNUMBER('Resol  Asuntos'!D15/NºAsuntos!G15),'Resol  Asuntos'!D15/NºAsuntos!G15," - ")</f>
        <v>0.14164415283674256</v>
      </c>
      <c r="E15" s="445">
        <f>IF(ISNUMBER((NºAsuntos!C15+NºAsuntos!E15)/NºAsuntos!G15),(NºAsuntos!C15+NºAsuntos!E15)/NºAsuntos!G15," - ")</f>
        <v>1.6946481410009004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1.0626304801670146</v>
      </c>
      <c r="C17" s="443">
        <f>IF(ISNUMBER(NºAsuntos!I17/NºAsuntos!G17),NºAsuntos!I17/NºAsuntos!G17," - ")</f>
        <v>0.71954813359528491</v>
      </c>
      <c r="D17" s="444">
        <f>IF(ISNUMBER('Resol  Asuntos'!D17/NºAsuntos!G17),'Resol  Asuntos'!D17/NºAsuntos!G17," - ")</f>
        <v>6.5815324165029471E-2</v>
      </c>
      <c r="E17" s="445">
        <f>IF(ISNUMBER((NºAsuntos!C17+NºAsuntos!E17)/NºAsuntos!G17),(NºAsuntos!C17+NºAsuntos!E17)/NºAsuntos!G17," - ")</f>
        <v>1.6802554027504912</v>
      </c>
      <c r="G17" s="463"/>
    </row>
    <row r="18" spans="1:7" ht="14.25" thickTop="1" thickBot="1">
      <c r="A18" s="848" t="str">
        <f>Datos!A18</f>
        <v>TOTAL</v>
      </c>
      <c r="B18" s="858">
        <f>IF(ISNUMBER(NºAsuntos!G18/NºAsuntos!E18),NºAsuntos!G18/NºAsuntos!E18," - ")</f>
        <v>1.0149512209201639</v>
      </c>
      <c r="C18" s="859">
        <f>IF(ISNUMBER(NºAsuntos!I18/NºAsuntos!G18),NºAsuntos!I18/NºAsuntos!G18," - ")</f>
        <v>0.70560800819019454</v>
      </c>
      <c r="D18" s="862">
        <f>IF(ISNUMBER('Resol  Asuntos'!D18/NºAsuntos!G18),'Resol  Asuntos'!D18/NºAsuntos!G18," - ")</f>
        <v>0.13286315549994313</v>
      </c>
      <c r="E18" s="861">
        <f>IF(ISNUMBER((NºAsuntos!C18+NºAsuntos!E18)/NºAsuntos!G18),(NºAsuntos!C18+NºAsuntos!E18)/NºAsuntos!G18," - ")</f>
        <v>1.6929814583096348</v>
      </c>
      <c r="G18" s="463"/>
    </row>
    <row r="19" spans="1:7" ht="15.75" customHeight="1" thickTop="1" thickBot="1">
      <c r="A19" s="793" t="str">
        <f>Datos!A19</f>
        <v>TOTAL JURISDICCIONES</v>
      </c>
      <c r="B19" s="808">
        <f>IF(ISNUMBER(NºAsuntos!G19/NºAsuntos!E19),NºAsuntos!G19/NºAsuntos!E19," - ")</f>
        <v>0.87106535964617338</v>
      </c>
      <c r="C19" s="809">
        <f>IF(ISNUMBER(NºAsuntos!I19/NºAsuntos!G19),NºAsuntos!I19/NºAsuntos!G19," - ")</f>
        <v>1.3505552586258092</v>
      </c>
      <c r="D19" s="810">
        <f>IF(ISNUMBER('Resol  Asuntos'!D19/NºAsuntos!G19),'Resol  Asuntos'!D19/NºAsuntos!G19," - ")</f>
        <v>0.19015380960864658</v>
      </c>
      <c r="E19" s="811">
        <f>IF(ISNUMBER((NºAsuntos!C19+NºAsuntos!E19)/NºAsuntos!G19),(NºAsuntos!C19+NºAsuntos!E19)/NºAsuntos!G19," - ")</f>
        <v>2.3351149118118655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HlAHPIYw3qNkzGlvlgh2ypF/vrV1eOtV0rrzQm5L+XFGMmLRKD2coAKRi6ZbEGa8GeJYxeGafp4Jha60nhVvQ==" saltValue="CySKClV2UuhnMtyBz+qs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VALENCIA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26</v>
      </c>
      <c r="B9" s="177" t="s">
        <v>246</v>
      </c>
      <c r="C9" s="160" t="str">
        <f>Datos!A9</f>
        <v xml:space="preserve">Jdos. 1ª Instancia   </v>
      </c>
      <c r="D9" s="160"/>
      <c r="E9" s="1025">
        <f>IF(ISNUMBER(Datos!AQ9),Datos!AQ9," - ")</f>
        <v>26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2416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3291</v>
      </c>
      <c r="Y9" s="334">
        <f>SUM(W9:X9)</f>
        <v>3291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28796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3387</v>
      </c>
      <c r="AJ9" s="229" t="str">
        <f>IF(ISNUMBER(Datos!BW9),Datos!BW9," - ")</f>
        <v xml:space="preserve"> - </v>
      </c>
      <c r="AK9" s="228" t="str">
        <f>IF(ISNUMBER(Datos!BX9),Datos!BX9," - ")</f>
        <v xml:space="preserve"> - </v>
      </c>
      <c r="AL9" s="243">
        <f>IF(ISNUMBER(NºAsuntos!G9/NºAsuntos!E9),NºAsuntos!G9/NºAsuntos!E9," - ")</f>
        <v>0.73156728444802577</v>
      </c>
      <c r="AM9" s="260">
        <f>IF(ISNUMBER(((NºAsuntos!I9/NºAsuntos!G9)*11)/factor_trimestre),((NºAsuntos!I9/NºAsuntos!G9)*11)/factor_trimestre," - ")</f>
        <v>6.4169764560099134</v>
      </c>
      <c r="AN9" s="244">
        <f>IF(ISNUMBER('Resol  Asuntos'!D9/NºAsuntos!G9),'Resol  Asuntos'!D9/NºAsuntos!G9," - ")</f>
        <v>0.23316811235026849</v>
      </c>
      <c r="AO9" s="245">
        <f>IF(ISNUMBER((NºAsuntos!C9+NºAsuntos!E9)/NºAsuntos!G9),(NºAsuntos!C9+NºAsuntos!E9)/NºAsuntos!G9," - ")</f>
        <v>3.1184772132727523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6</v>
      </c>
      <c r="B10" s="275" t="s">
        <v>246</v>
      </c>
      <c r="C10" s="7" t="str">
        <f>Datos!A10</f>
        <v>Jdos. Violencia contra la mujer</v>
      </c>
      <c r="D10" s="7"/>
      <c r="E10" s="1025">
        <f>IF(ISNUMBER(Datos!AQ10),Datos!AQ10," - ")</f>
        <v>6</v>
      </c>
      <c r="F10" s="225">
        <f>IF(ISNUMBER(Datos!L10+Datos!K10-Datos!J10-K10),Datos!L10+Datos!K10-Datos!J10-K10," - ")</f>
        <v>328</v>
      </c>
      <c r="G10" s="333">
        <f>IF(ISNUMBER(Datos!I10),Datos!I10," - ")</f>
        <v>328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197</v>
      </c>
      <c r="X10" s="226">
        <f>IF(ISNUMBER(Datos!Q10),Datos!Q10," - ")</f>
        <v>82</v>
      </c>
      <c r="Y10" s="334">
        <f t="shared" ref="Y10:Y12" si="0">SUM(W10:X10)</f>
        <v>279</v>
      </c>
      <c r="Z10" s="335" t="str">
        <f>IF(ISNUMBER(Datos!CC10),Datos!CC10," - ")</f>
        <v xml:space="preserve"> - </v>
      </c>
      <c r="AA10" s="332">
        <f>IF(ISNUMBER(Datos!L10),Datos!L10,"-")</f>
        <v>320</v>
      </c>
      <c r="AB10" s="334">
        <f>IF(ISNUMBER(Datos!R10),Datos!R10," - ")</f>
        <v>257</v>
      </c>
      <c r="AC10" s="334">
        <f t="shared" ref="AC10:AC12" si="1">IF(ISNUMBER(AA10+AB10),AA10+AB10," - ")</f>
        <v>577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83</v>
      </c>
      <c r="AJ10" s="231" t="str">
        <f>IF(ISNUMBER(Datos!BW10),Datos!BW10," - ")</f>
        <v xml:space="preserve"> - </v>
      </c>
      <c r="AK10" s="232" t="str">
        <f>IF(ISNUMBER(Datos!BX10),Datos!BX10," - ")</f>
        <v xml:space="preserve"> - </v>
      </c>
      <c r="AL10" s="243">
        <f>IF(ISNUMBER(NºAsuntos!G10/NºAsuntos!E10),NºAsuntos!G10/NºAsuntos!E10," - ")</f>
        <v>1.0423280423280423</v>
      </c>
      <c r="AM10" s="260">
        <f>IF(ISNUMBER(((NºAsuntos!I10/NºAsuntos!G10)*11)/factor_trimestre),((NºAsuntos!I10/NºAsuntos!G10)*11)/factor_trimestre," - ")</f>
        <v>4.873096446700508</v>
      </c>
      <c r="AN10" s="244">
        <f>IF(ISNUMBER('Resol  Asuntos'!D10/NºAsuntos!G10),'Resol  Asuntos'!D10/NºAsuntos!G10," - ")</f>
        <v>0.42131979695431471</v>
      </c>
      <c r="AO10" s="245">
        <f>IF(ISNUMBER((NºAsuntos!C10+NºAsuntos!E10)/NºAsuntos!G10),(NºAsuntos!C10+NºAsuntos!E10)/NºAsuntos!G10," - ")</f>
        <v>2.6243654822335025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139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181</v>
      </c>
      <c r="Y11" s="334">
        <f t="shared" si="0"/>
        <v>181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1609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598</v>
      </c>
      <c r="AJ11" s="231" t="str">
        <f>IF(ISNUMBER(Datos!BW11),Datos!BW11," - ")</f>
        <v xml:space="preserve"> - </v>
      </c>
      <c r="AK11" s="232" t="str">
        <f>IF(ISNUMBER(Datos!BX11),Datos!BX11," - ")</f>
        <v xml:space="preserve"> - </v>
      </c>
      <c r="AL11" s="243">
        <f>IF(ISNUMBER(NºAsuntos!G11/NºAsuntos!E11),NºAsuntos!G11/NºAsuntos!E11," - ")</f>
        <v>1.0602316602316602</v>
      </c>
      <c r="AM11" s="260">
        <f>IF(ISNUMBER(((NºAsuntos!I11/NºAsuntos!G11)*11)/factor_trimestre),((NºAsuntos!I11/NºAsuntos!G11)*11)/factor_trimestre," - ")</f>
        <v>3.6860888565185732</v>
      </c>
      <c r="AN11" s="244">
        <f>IF(ISNUMBER('Resol  Asuntos'!D11/NºAsuntos!G11),'Resol  Asuntos'!D11/NºAsuntos!G11," - ")</f>
        <v>0.43554260742898759</v>
      </c>
      <c r="AO11" s="245">
        <f>IF(ISNUMBER((NºAsuntos!C11+NºAsuntos!E11)/NºAsuntos!G11),(NºAsuntos!C11+NºAsuntos!E11)/NºAsuntos!G11," - ")</f>
        <v>2.2286962855061909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36</v>
      </c>
      <c r="F13" s="865">
        <f t="shared" si="3"/>
        <v>328</v>
      </c>
      <c r="G13" s="866">
        <f t="shared" si="3"/>
        <v>328</v>
      </c>
      <c r="H13" s="865">
        <f t="shared" si="3"/>
        <v>0</v>
      </c>
      <c r="I13" s="867">
        <f t="shared" si="3"/>
        <v>0</v>
      </c>
      <c r="J13" s="867">
        <f t="shared" si="3"/>
        <v>0</v>
      </c>
      <c r="K13" s="867">
        <f t="shared" si="3"/>
        <v>0</v>
      </c>
      <c r="L13" s="867">
        <f t="shared" si="3"/>
        <v>2594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197</v>
      </c>
      <c r="X13" s="867">
        <f t="shared" si="4"/>
        <v>3554</v>
      </c>
      <c r="Y13" s="868">
        <f t="shared" si="4"/>
        <v>3751</v>
      </c>
      <c r="Z13" s="868">
        <f t="shared" si="4"/>
        <v>0</v>
      </c>
      <c r="AA13" s="868">
        <f t="shared" si="4"/>
        <v>320</v>
      </c>
      <c r="AB13" s="868">
        <f t="shared" si="4"/>
        <v>30662</v>
      </c>
      <c r="AC13" s="868">
        <f t="shared" si="4"/>
        <v>577</v>
      </c>
      <c r="AD13" s="868">
        <f t="shared" si="4"/>
        <v>0</v>
      </c>
      <c r="AE13" s="872">
        <f t="shared" si="4"/>
        <v>0</v>
      </c>
      <c r="AF13" s="865">
        <f t="shared" si="4"/>
        <v>0</v>
      </c>
      <c r="AG13" s="873">
        <f t="shared" si="4"/>
        <v>0</v>
      </c>
      <c r="AH13" s="870">
        <f t="shared" si="4"/>
        <v>0</v>
      </c>
      <c r="AI13" s="865">
        <f t="shared" si="4"/>
        <v>4068</v>
      </c>
      <c r="AJ13" s="867">
        <f t="shared" si="4"/>
        <v>0</v>
      </c>
      <c r="AK13" s="870">
        <f>SUBTOTAL(9,AK9:AK12)</f>
        <v>0</v>
      </c>
      <c r="AL13" s="874">
        <f>IF(ISNUMBER(NºAsuntos!G13/NºAsuntos!E13),NºAsuntos!G13/NºAsuntos!E13," - ")</f>
        <v>0.75426429240862236</v>
      </c>
      <c r="AM13" s="874">
        <f>IF(ISNUMBER(((NºAsuntos!I13/NºAsuntos!G13)*11)/factor_trimestre),((NºAsuntos!I13/NºAsuntos!G13)*11)/factor_trimestre," - ")</f>
        <v>6.1651341948310154</v>
      </c>
      <c r="AN13" s="875">
        <f>IF(ISNUMBER('Resol  Asuntos'!D13/NºAsuntos!G13),'Resol  Asuntos'!D13/NºAsuntos!G13," - ")</f>
        <v>0.25273359840954274</v>
      </c>
      <c r="AO13" s="876">
        <f>IF(ISNUMBER((NºAsuntos!C13+NºAsuntos!E13)/NºAsuntos!G13),(NºAsuntos!C13+NºAsuntos!E13)/NºAsuntos!G13," - ")</f>
        <v>3.036530815109344</v>
      </c>
      <c r="AP13" s="877" t="str">
        <f t="shared" si="2"/>
        <v xml:space="preserve"> - </v>
      </c>
      <c r="AQ13" s="877">
        <f>IF(ISNUMBER((H13-W13+K13)/(F13)),(H13-W13+K13)/(F13)," - ")</f>
        <v>-0.60060975609756095</v>
      </c>
      <c r="AR13" s="878">
        <f>IF(ISNUMBER((Datos!P13-Datos!Q13)/(Datos!R13-Datos!P13+Datos!Q13)),(Datos!P13-Datos!Q13)/(Datos!R13-Datos!P13+Datos!Q13)," - ")</f>
        <v>-3.035861109354247E-2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21</v>
      </c>
      <c r="B15" s="275" t="s">
        <v>396</v>
      </c>
      <c r="C15" s="160" t="str">
        <f>Datos!A15</f>
        <v xml:space="preserve">Jdos. Instrucción                               </v>
      </c>
      <c r="D15" s="160"/>
      <c r="E15" s="1025">
        <f>IF(ISNUMBER(Datos!AQ15),Datos!AQ15," - ")</f>
        <v>21</v>
      </c>
      <c r="F15" s="225">
        <f>IF(ISNUMBER(AA15+W15-Datos!J15-K15),AA15+W15-Datos!J15-K15," - ")</f>
        <v>11080</v>
      </c>
      <c r="G15" s="333">
        <f>IF(ISNUMBER(IF(D_I="SI",Datos!I15,Datos!I15+Datos!AC15)),IF(D_I="SI",Datos!I15,Datos!I15+Datos!AC15)," - ")</f>
        <v>10938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961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15546</v>
      </c>
      <c r="X15" s="226">
        <f>IF(ISNUMBER(Datos!Q15),Datos!Q15," - ")</f>
        <v>894</v>
      </c>
      <c r="Y15" s="334">
        <f>SUM(W15)</f>
        <v>15546</v>
      </c>
      <c r="Z15" s="335" t="str">
        <f>IF(ISNUMBER(Datos!CC15),Datos!CC15," - ")</f>
        <v xml:space="preserve"> - </v>
      </c>
      <c r="AA15" s="332">
        <f>IF(ISNUMBER(IF(D_I="SI",Datos!L15,Datos!L15+Datos!AF15)),IF(D_I="SI",Datos!L15,Datos!L15+Datos!AF15)," - ")</f>
        <v>10941</v>
      </c>
      <c r="AB15" s="334">
        <f>IF(ISNUMBER(Datos!R15),Datos!R15," - ")</f>
        <v>1808</v>
      </c>
      <c r="AC15" s="334">
        <f t="shared" ref="AC15:AC17" si="6">IF(ISNUMBER(AA15+AB15),AA15+AB15," - ")</f>
        <v>12749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2202</v>
      </c>
      <c r="AJ15" s="231" t="str">
        <f>IF(ISNUMBER(Datos!BW15),Datos!BW15," - ")</f>
        <v xml:space="preserve"> - </v>
      </c>
      <c r="AK15" s="232" t="str">
        <f>IF(ISNUMBER(Datos!BX15),Datos!BX15," - ")</f>
        <v xml:space="preserve"> - </v>
      </c>
      <c r="AL15" s="243">
        <f>IF(ISNUMBER(NºAsuntos!G15/NºAsuntos!E15),NºAsuntos!G15/NºAsuntos!E15," - ")</f>
        <v>1.0090218731745311</v>
      </c>
      <c r="AM15" s="260">
        <f>IF(ISNUMBER(((NºAsuntos!I15/NºAsuntos!G15)*11)/factor_trimestre),((NºAsuntos!I15/NºAsuntos!G15)*11)/factor_trimestre," - ")</f>
        <v>2.1113469702817445</v>
      </c>
      <c r="AN15" s="244">
        <f>IF(ISNUMBER('Resol  Asuntos'!D15/NºAsuntos!G15),'Resol  Asuntos'!D15/NºAsuntos!G15," - ")</f>
        <v>0.14164415283674256</v>
      </c>
      <c r="AO15" s="245">
        <f>IF(ISNUMBER((NºAsuntos!C15+NºAsuntos!E15)/NºAsuntos!G15),(NºAsuntos!C15+NºAsuntos!E15)/NºAsuntos!G15," - ")</f>
        <v>1.6946481410009004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6</v>
      </c>
      <c r="B17" s="275" t="s">
        <v>396</v>
      </c>
      <c r="C17" s="7" t="str">
        <f>Datos!A17</f>
        <v>Jdos. Violencia contra la mujer</v>
      </c>
      <c r="D17" s="7"/>
      <c r="E17" s="1025">
        <f>IF(ISNUMBER(Datos!AQ17),Datos!AQ17," - ")</f>
        <v>6</v>
      </c>
      <c r="F17" s="225" t="str">
        <f>IF(ISNUMBER(AA17+W17-H17-K17),AA17+W17-H17-K17," - ")</f>
        <v xml:space="preserve"> - </v>
      </c>
      <c r="G17" s="333">
        <f>IF(ISNUMBER(IF(D_I="SI",Datos!I17,Datos!I17+Datos!AC17)),IF(D_I="SI",Datos!I17,Datos!I17+Datos!AC17)," - ")</f>
        <v>1505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2036</v>
      </c>
      <c r="X17" s="226">
        <f>IF(ISNUMBER(Datos!Q17),Datos!Q17," - ")</f>
        <v>37</v>
      </c>
      <c r="Y17" s="334">
        <f t="shared" si="7"/>
        <v>2073</v>
      </c>
      <c r="Z17" s="335" t="str">
        <f>IF(ISNUMBER(Datos!CC17),Datos!CC17," - ")</f>
        <v xml:space="preserve"> - </v>
      </c>
      <c r="AA17" s="332">
        <f>IF(ISNUMBER(Datos!L17),Datos!L17,"-")</f>
        <v>1465</v>
      </c>
      <c r="AB17" s="334">
        <f>IF(ISNUMBER(Datos!R17),Datos!R17," - ")</f>
        <v>53</v>
      </c>
      <c r="AC17" s="334">
        <f t="shared" si="6"/>
        <v>1518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134</v>
      </c>
      <c r="AJ17" s="231" t="str">
        <f>IF(ISNUMBER(Datos!BW17),Datos!BW17," - ")</f>
        <v xml:space="preserve"> - </v>
      </c>
      <c r="AK17" s="232" t="str">
        <f>IF(ISNUMBER(Datos!BX17),Datos!BX17," - ")</f>
        <v xml:space="preserve"> - </v>
      </c>
      <c r="AL17" s="243">
        <f>IF(ISNUMBER(NºAsuntos!G17/NºAsuntos!E17),NºAsuntos!G17/NºAsuntos!E17," - ")</f>
        <v>1.0626304801670146</v>
      </c>
      <c r="AM17" s="260">
        <f>IF(ISNUMBER(((NºAsuntos!I17/NºAsuntos!G17)*11)/factor_trimestre),((NºAsuntos!I17/NºAsuntos!G17)*11)/factor_trimestre," - ")</f>
        <v>2.158644400785855</v>
      </c>
      <c r="AN17" s="244">
        <f>IF(ISNUMBER('Resol  Asuntos'!D17/NºAsuntos!G17),'Resol  Asuntos'!D17/NºAsuntos!G17," - ")</f>
        <v>6.5815324165029471E-2</v>
      </c>
      <c r="AO17" s="245">
        <f>IF(ISNUMBER((NºAsuntos!C17+NºAsuntos!E17)/NºAsuntos!G17),(NºAsuntos!C17+NºAsuntos!E17)/NºAsuntos!G17," - ")</f>
        <v>1.6802554027504912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27</v>
      </c>
      <c r="F18" s="865">
        <f>SUBTOTAL(9,F14:F17)</f>
        <v>11080</v>
      </c>
      <c r="G18" s="866">
        <f>SUBTOTAL(9,G15:G17)</f>
        <v>12443</v>
      </c>
      <c r="H18" s="865">
        <f t="shared" ref="H18:O18" si="10">SUBTOTAL(9,H14:H17)</f>
        <v>0</v>
      </c>
      <c r="I18" s="867">
        <f t="shared" si="10"/>
        <v>0</v>
      </c>
      <c r="J18" s="867">
        <f t="shared" si="10"/>
        <v>0</v>
      </c>
      <c r="K18" s="867">
        <f t="shared" si="10"/>
        <v>0</v>
      </c>
      <c r="L18" s="867">
        <f t="shared" si="10"/>
        <v>1005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17582</v>
      </c>
      <c r="X18" s="867">
        <f t="shared" si="11"/>
        <v>931</v>
      </c>
      <c r="Y18" s="868">
        <f t="shared" si="11"/>
        <v>17619</v>
      </c>
      <c r="Z18" s="868">
        <f t="shared" si="11"/>
        <v>0</v>
      </c>
      <c r="AA18" s="868">
        <f t="shared" si="11"/>
        <v>12406</v>
      </c>
      <c r="AB18" s="868">
        <f t="shared" si="11"/>
        <v>1861</v>
      </c>
      <c r="AC18" s="868">
        <f t="shared" si="11"/>
        <v>14267</v>
      </c>
      <c r="AD18" s="868">
        <f t="shared" si="11"/>
        <v>0</v>
      </c>
      <c r="AE18" s="872">
        <f t="shared" si="11"/>
        <v>0</v>
      </c>
      <c r="AF18" s="865">
        <f t="shared" si="11"/>
        <v>0</v>
      </c>
      <c r="AG18" s="873">
        <f t="shared" si="11"/>
        <v>0</v>
      </c>
      <c r="AH18" s="870">
        <f t="shared" si="11"/>
        <v>0</v>
      </c>
      <c r="AI18" s="865">
        <f t="shared" si="11"/>
        <v>2336</v>
      </c>
      <c r="AJ18" s="867">
        <f t="shared" si="11"/>
        <v>0</v>
      </c>
      <c r="AK18" s="870">
        <f t="shared" si="11"/>
        <v>0</v>
      </c>
      <c r="AL18" s="874">
        <f>IF(ISNUMBER(NºAsuntos!G18/NºAsuntos!E18),NºAsuntos!G18/NºAsuntos!E18," - ")</f>
        <v>1.0149512209201639</v>
      </c>
      <c r="AM18" s="874">
        <f>IF(ISNUMBER(((NºAsuntos!I18/NºAsuntos!G18)*11)/factor_trimestre),((NºAsuntos!I18/NºAsuntos!G18)*11)/factor_trimestre," - ")</f>
        <v>2.1168240245705836</v>
      </c>
      <c r="AN18" s="875">
        <f>IF(ISNUMBER('Resol  Asuntos'!D18/NºAsuntos!G18),'Resol  Asuntos'!D18/NºAsuntos!G18," - ")</f>
        <v>0.13286315549994313</v>
      </c>
      <c r="AO18" s="876">
        <f>IF(ISNUMBER((NºAsuntos!C18+NºAsuntos!E18)/NºAsuntos!G18),(NºAsuntos!C18+NºAsuntos!E18)/NºAsuntos!G18," - ")</f>
        <v>1.6929814583096348</v>
      </c>
      <c r="AP18" s="877" t="str">
        <f t="shared" si="2"/>
        <v xml:space="preserve"> - </v>
      </c>
      <c r="AQ18" s="877">
        <f>IF(ISNUMBER((H18-W18+K18)/(F18)),(H18-W18+K18)/(F18)," - ")</f>
        <v>-1.5868231046931407</v>
      </c>
      <c r="AR18" s="878">
        <f>IF(ISNUMBER((Datos!P18-Datos!Q18)/(Datos!R18-Datos!P18+Datos!Q18)),(Datos!P18-Datos!Q18)/(Datos!R18-Datos!P18+Datos!Q18)," - ")</f>
        <v>4.1410184667039732E-2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63</v>
      </c>
      <c r="F19" s="820">
        <f t="shared" si="13"/>
        <v>11408</v>
      </c>
      <c r="G19" s="821">
        <f t="shared" si="13"/>
        <v>12771</v>
      </c>
      <c r="H19" s="820">
        <f t="shared" si="13"/>
        <v>0</v>
      </c>
      <c r="I19" s="822">
        <f t="shared" si="13"/>
        <v>0</v>
      </c>
      <c r="J19" s="822">
        <f t="shared" si="13"/>
        <v>0</v>
      </c>
      <c r="K19" s="881">
        <f t="shared" si="13"/>
        <v>0</v>
      </c>
      <c r="L19" s="822">
        <f t="shared" si="13"/>
        <v>3599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17779</v>
      </c>
      <c r="X19" s="821">
        <f t="shared" si="14"/>
        <v>4485</v>
      </c>
      <c r="Y19" s="828">
        <f t="shared" si="14"/>
        <v>21370</v>
      </c>
      <c r="Z19" s="828">
        <f t="shared" si="14"/>
        <v>0</v>
      </c>
      <c r="AA19" s="828">
        <f t="shared" si="14"/>
        <v>12726</v>
      </c>
      <c r="AB19" s="828">
        <f t="shared" si="14"/>
        <v>32523</v>
      </c>
      <c r="AC19" s="828">
        <f t="shared" si="14"/>
        <v>14844</v>
      </c>
      <c r="AD19" s="828">
        <f t="shared" si="14"/>
        <v>0</v>
      </c>
      <c r="AE19" s="830">
        <f t="shared" si="14"/>
        <v>0</v>
      </c>
      <c r="AF19" s="831">
        <f t="shared" si="14"/>
        <v>0</v>
      </c>
      <c r="AG19" s="832">
        <f t="shared" si="14"/>
        <v>0</v>
      </c>
      <c r="AH19" s="830">
        <f t="shared" si="14"/>
        <v>0</v>
      </c>
      <c r="AI19" s="820">
        <f t="shared" si="14"/>
        <v>6404</v>
      </c>
      <c r="AJ19" s="820">
        <f t="shared" si="14"/>
        <v>0</v>
      </c>
      <c r="AK19" s="830">
        <f t="shared" si="14"/>
        <v>0</v>
      </c>
      <c r="AL19" s="884">
        <f>IF(ISNUMBER(NºAsuntos!G19/NºAsuntos!E19),NºAsuntos!G19/NºAsuntos!E19," - ")</f>
        <v>0.87106535964617338</v>
      </c>
      <c r="AM19" s="885">
        <f>IF(ISNUMBER(((NºAsuntos!I19/NºAsuntos!G19)*11)/factor_trimestre),((NºAsuntos!I19/NºAsuntos!G19)*11)/factor_trimestre," - ")</f>
        <v>4.0516657758774279</v>
      </c>
      <c r="AN19" s="885">
        <f>IF(ISNUMBER('Resol  Asuntos'!D19/NºAsuntos!G19),'Resol  Asuntos'!D19/NºAsuntos!G19," - ")</f>
        <v>0.19015380960864658</v>
      </c>
      <c r="AO19" s="886">
        <f>IF(ISNUMBER((NºAsuntos!C19+NºAsuntos!E19)/NºAsuntos!G19),(NºAsuntos!C19+NºAsuntos!E19)/NºAsuntos!G19," - ")</f>
        <v>2.3351149118118655</v>
      </c>
      <c r="AP19" s="887" t="str">
        <f t="shared" si="2"/>
        <v xml:space="preserve"> - </v>
      </c>
      <c r="AQ19" s="888">
        <f>IF(OR(ISNUMBER(FIND("01",Criterios!A8,1)),ISNUMBER(FIND("02",Criterios!A8,1)),ISNUMBER(FIND("03",Criterios!A8,1)),ISNUMBER(FIND("04",Criterios!A8,1))),(I19-W19+K19)/(F19-K19),(H19-W19+K19)/(F19-K19))</f>
        <v>-1.5584677419354838</v>
      </c>
      <c r="AR19" s="889">
        <f>IF(ISNUMBER((Datos!P19-Datos!Q19)/(Datos!R19-Datos!P19+Datos!Q19)),(Datos!P19-Datos!Q19)/(Datos!R19-Datos!P19+Datos!Q19)," - ")</f>
        <v>-2.6519800053877697E-2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5108.3999999999996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13.536986370680884</v>
      </c>
      <c r="F21" s="252">
        <f>IF(ISNUMBER(STDEV(F8:F18)),STDEV(F8:F18),"-")</f>
        <v>6207.6700943268561</v>
      </c>
      <c r="G21" s="253">
        <f>IF(ISNUMBER(STDEV(G8:G18)),STDEV(G8:G18),"-")</f>
        <v>6051.2298997807047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8691.2812806858346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1595.4916394104268</v>
      </c>
      <c r="AJ21" s="252">
        <f t="shared" si="18"/>
        <v>0</v>
      </c>
      <c r="AK21" s="254">
        <f t="shared" si="18"/>
        <v>0</v>
      </c>
      <c r="AL21" s="249">
        <f t="shared" si="18"/>
        <v>0.14548735539749408</v>
      </c>
      <c r="AM21" s="250">
        <f t="shared" si="18"/>
        <v>1.908863539493592</v>
      </c>
      <c r="AN21" s="250">
        <f t="shared" si="18"/>
        <v>0.1430697473128221</v>
      </c>
      <c r="AO21" s="251">
        <f t="shared" si="18"/>
        <v>0.63791364737263756</v>
      </c>
      <c r="AP21" s="291" t="str">
        <f t="shared" si="18"/>
        <v>-</v>
      </c>
      <c r="AQ21" s="292">
        <f t="shared" si="18"/>
        <v>0.69735814648862693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j8KhFKgFsF96MZ3qEFoYzSDs7RUarl2oNj/ERBTqL8e+LdwSmimPNbPkuWU52fq+G9I0TsO/7v2Vw5S6q6F8w==" saltValue="Fl4zeDBCJpk6h/lKlkQT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VALENCIA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0.22584147665580889</v>
      </c>
      <c r="I9" s="350">
        <f>IF(ISNUMBER((Tasas!C9-Datos!BE9)/Datos!BE9),(Tasas!C9-Datos!BE9)/Datos!BE9," - ")</f>
        <v>0.25779348839339156</v>
      </c>
      <c r="J9" s="349">
        <f>IF(ISNUMBER((Tasas!D9-Datos!BF9)/Datos!BF9),(Tasas!D9-Datos!BF9)/Datos!BF9," - ")</f>
        <v>-0.52957597529332223</v>
      </c>
      <c r="K9" s="351">
        <f>IF(ISNUMBER((Tasas!E9-Datos!BG9)/Datos!BG9),(Tasas!E9-Datos!BG9)/Datos!BG9," - ")</f>
        <v>0.15598862838036756</v>
      </c>
      <c r="M9" t="e">
        <f>IF(Monitorios="SI",Datos!CE9,0)</f>
        <v>#REF!</v>
      </c>
      <c r="N9" t="e">
        <f>IF(Monitorios="SI",Datos!CF9,0)</f>
        <v>#REF!</v>
      </c>
      <c r="O9" t="e">
        <f>IF(Monitorios="SI",Datos!CG9,0)</f>
        <v>#REF!</v>
      </c>
      <c r="P9" t="e">
        <f>IF(Monitorios="SI",Datos!CH9,0)</f>
        <v>#REF!</v>
      </c>
      <c r="Q9">
        <f>IF(J_V="SI",0,Datos!AG9)</f>
        <v>910</v>
      </c>
      <c r="R9">
        <f>IF(J_V="SI",0,Datos!AH9)</f>
        <v>1264</v>
      </c>
      <c r="S9">
        <f>IF(J_V="SI",0,Datos!AI9)</f>
        <v>1198</v>
      </c>
      <c r="T9">
        <f>IF(J_V="SI",0,Datos!AJ9)</f>
        <v>976</v>
      </c>
    </row>
    <row r="10" spans="2:20" ht="14.25">
      <c r="B10" s="275" t="s">
        <v>246</v>
      </c>
      <c r="C10" s="7" t="str">
        <f>Datos!A10</f>
        <v>Jdos. Violencia contra la mujer</v>
      </c>
      <c r="D10" s="352">
        <f>IF(ISNUMBER((Datos!I10-Datos!S10)/Datos!S10),(Datos!I10-Datos!S10)/Datos!S10," - ")</f>
        <v>0.19708029197080293</v>
      </c>
      <c r="E10" s="348">
        <f>IF(ISNUMBER((Datos!J10-Datos!T10)/Datos!T10),(Datos!J10-Datos!T10)/Datos!T10," - ")</f>
        <v>5.5865921787709494E-2</v>
      </c>
      <c r="F10" s="348">
        <f>IF(ISNUMBER((Datos!K10-Datos!U10)/Datos!U10),(Datos!K10-Datos!U10)/Datos!U10," - ")</f>
        <v>0.17964071856287425</v>
      </c>
      <c r="G10" s="349">
        <f>IF(ISNUMBER((Datos!L10-Datos!V10)/Datos!V10),(Datos!L10-Datos!V10)/Datos!V10," - ")</f>
        <v>0.22137404580152673</v>
      </c>
      <c r="H10" s="230">
        <f>IF(ISNUMBER((Datos!M10-Datos!W10)/Datos!W10),(Datos!M10-Datos!W10)/Datos!W10," - ")</f>
        <v>0.62745098039215685</v>
      </c>
      <c r="I10" s="350">
        <f>IF(ISNUMBER((Tasas!C10-Datos!BE10)/Datos!BE10),(Tasas!C10-Datos!BE10)/Datos!BE10," - ")</f>
        <v>3.5377998217537912E-2</v>
      </c>
      <c r="J10" s="349">
        <f>IF(ISNUMBER((Tasas!D10-Datos!BF10)/Datos!BF10),(Tasas!D10-Datos!BF10)/Datos!BF10," - ")</f>
        <v>0.37961580571314807</v>
      </c>
      <c r="K10" s="351">
        <f>IF(ISNUMBER((Tasas!E10-Datos!BG10)/Datos!BG10),(Tasas!E10-Datos!BG10)/Datos!BG10," - ")</f>
        <v>-3.2518685357627086E-2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8.4317032040472171E-3</v>
      </c>
      <c r="I11" s="350">
        <f>IF(ISNUMBER((Tasas!C11-Datos!BE11)/Datos!BE11),(Tasas!C11-Datos!BE11)/Datos!BE11," - ")</f>
        <v>-0.11687454479242525</v>
      </c>
      <c r="J11" s="349">
        <f>IF(ISNUMBER((Tasas!D11-Datos!BF11)/Datos!BF11),(Tasas!D11-Datos!BF11)/Datos!BF11," - ")</f>
        <v>0.36496840249685036</v>
      </c>
      <c r="K11" s="351">
        <f>IF(ISNUMBER((Tasas!E11-Datos!BG11)/Datos!BG11),(Tasas!E11-Datos!BG11)/Datos!BG11," - ")</f>
        <v>-0.10123600016882583</v>
      </c>
      <c r="M11" t="e">
        <f>IF(Monitorios="SI",Datos!CE11,0)</f>
        <v>#REF!</v>
      </c>
      <c r="N11" t="e">
        <f>IF(Monitorios="SI",Datos!CF11,0)</f>
        <v>#REF!</v>
      </c>
      <c r="O11" t="e">
        <f>IF(Monitorios="SI",Datos!CG11,0)</f>
        <v>#REF!</v>
      </c>
      <c r="P11" t="e">
        <f>IF(Monitorios="SI",Datos!CH11,0)</f>
        <v>#REF!</v>
      </c>
      <c r="Q11">
        <f>IF(J_V="SI",0,Datos!AG11)</f>
        <v>221</v>
      </c>
      <c r="R11">
        <f>IF(J_V="SI",0,Datos!AH11)</f>
        <v>100</v>
      </c>
      <c r="S11">
        <f>IF(J_V="SI",0,Datos!AI11)</f>
        <v>109</v>
      </c>
      <c r="T11">
        <f>IF(J_V="SI",0,Datos!AJ11)</f>
        <v>180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0.19401232756090403</v>
      </c>
      <c r="I13" s="357">
        <f>IF(ISNUMBER((Tasas!C13-Datos!BE13)/Datos!BE13),(Tasas!C13-Datos!BE13)/Datos!BE13," - ")</f>
        <v>0.22848632755378456</v>
      </c>
      <c r="J13" s="355">
        <f>IF(ISNUMBER((Tasas!D13-Datos!BF13)/Datos!BF13),(Tasas!D13-Datos!BF13)/Datos!BF13," - ")</f>
        <v>-0.47192818267698772</v>
      </c>
      <c r="K13" s="358">
        <f>IF(ISNUMBER((Tasas!E13-Datos!BG13)/Datos!BG13),(Tasas!E13-Datos!BG13)/Datos!BG13," - ")</f>
        <v>0.13335606084775128</v>
      </c>
      <c r="M13" t="e">
        <f>IF(Monitorios="SI",Datos!CE13,0)</f>
        <v>#REF!</v>
      </c>
      <c r="N13" t="e">
        <f>IF(Monitorios="SI",Datos!CF13,0)</f>
        <v>#REF!</v>
      </c>
      <c r="O13" t="e">
        <f>IF(Monitorios="SI",Datos!CG13,0)</f>
        <v>#REF!</v>
      </c>
      <c r="P13" t="e">
        <f>IF(Monitorios="SI",Datos!CH13,0)</f>
        <v>#REF!</v>
      </c>
      <c r="Q13">
        <f>IF(J_V="SI",0,Datos!AG13)</f>
        <v>1131</v>
      </c>
      <c r="R13">
        <f>IF(J_V="SI",0,Datos!AH13)</f>
        <v>1364</v>
      </c>
      <c r="S13">
        <f>IF(J_V="SI",0,Datos!AI13)</f>
        <v>1307</v>
      </c>
      <c r="T13">
        <f>IF(J_V="SI",0,Datos!AJ13)</f>
        <v>1156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0.23495540250649205</v>
      </c>
      <c r="E15" s="348">
        <f>IF(ISNUMBER(
   IF(D_I="SI",(Datos!J15-Datos!T15)/Datos!T15,(Datos!J15+Datos!AD15-(Datos!T15+Datos!AL15))/(Datos!T15+Datos!AL15))
     ),IF(D_I="SI",(Datos!J15-Datos!T15)/Datos!T15,(Datos!J15+Datos!AD15-(Datos!T15+Datos!AL15))/(Datos!T15+Datos!AL15))," - ")</f>
        <v>0.19000540665791302</v>
      </c>
      <c r="F15" s="348">
        <f>IF(ISNUMBER(
   IF(D_I="SI",(Datos!K15-Datos!U15)/Datos!U15,(Datos!K15+Datos!AE15-(Datos!U15+Datos!AM15))/(Datos!U15+Datos!AM15))
     ),IF(D_I="SI",(Datos!K15-Datos!U15)/Datos!U15,(Datos!K15+Datos!AE15-(Datos!U15+Datos!AM15))/(Datos!U15+Datos!AM15))," - ")</f>
        <v>0.19704319704319703</v>
      </c>
      <c r="G15" s="349">
        <f>IF(ISNUMBER(
   IF(D_I="SI",(Datos!L15-Datos!V15)/Datos!V15,(Datos!L15+Datos!AF15-(Datos!V15+Datos!AN15))/(Datos!V15+Datos!AN15))
     ),IF(D_I="SI",(Datos!L15-Datos!V15)/Datos!V15,(Datos!L15+Datos!AF15-(Datos!V15+Datos!AN15))/(Datos!V15+Datos!AN15))," - ")</f>
        <v>0.19599912549191081</v>
      </c>
      <c r="H15" s="230">
        <f>IF(ISNUMBER((Datos!M15-Datos!W15)/Datos!W15),(Datos!M15-Datos!W15)/Datos!W15," - ")</f>
        <v>0.13975155279503104</v>
      </c>
      <c r="I15" s="350">
        <f>IF(ISNUMBER((Tasas!C15-Datos!BE15)/Datos!BE15),(Tasas!C15-Datos!BE15)/Datos!BE15," - ")</f>
        <v>-8.7220875058255441E-4</v>
      </c>
      <c r="J15" s="349">
        <f>IF(ISNUMBER((Tasas!D15-Datos!BF15)/Datos!BF15),(Tasas!D15-Datos!BF15)/Datos!BF15," - ")</f>
        <v>-4.7860966412641974E-2</v>
      </c>
      <c r="K15" s="351">
        <f>IF(ISNUMBER((Tasas!E15-Datos!BG15)/Datos!BG15),(Tasas!E15-Datos!BG15)/Datos!BG15," - ")</f>
        <v>9.3742160694686352E-3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9.9342585829072322E-2</v>
      </c>
      <c r="E17" s="348">
        <f>IF(ISNUMBER(
   IF(D_I="SI",(Datos!J17-Datos!T17)/Datos!T17,(Datos!J17+Datos!AD17-(Datos!T17+Datos!AL17))/(Datos!T17+Datos!AL17))
     ),IF(D_I="SI",(Datos!J17-Datos!T17)/Datos!T17,(Datos!J17+Datos!AD17-(Datos!T17+Datos!AL17))/(Datos!T17+Datos!AL17))," - ")</f>
        <v>-3.86352232814852E-2</v>
      </c>
      <c r="F17" s="348">
        <f>IF(ISNUMBER(
   IF(D_I="SI",(Datos!K17-Datos!U17)/Datos!U17,(Datos!K17+Datos!AE17-(Datos!U17+Datos!AM17))/(Datos!U17+Datos!AM17))
     ),IF(D_I="SI",(Datos!K17-Datos!U17)/Datos!U17,(Datos!K17+Datos!AE17-(Datos!U17+Datos!AM17))/(Datos!U17+Datos!AM17))," - ")</f>
        <v>5.0567595459236329E-2</v>
      </c>
      <c r="G17" s="349">
        <f>IF(ISNUMBER(
   IF(D_I="SI",(Datos!L17-Datos!V17)/Datos!V17,(Datos!L17+Datos!AF17-(Datos!V17+Datos!AN17))/(Datos!V17+Datos!AN17))
     ),IF(D_I="SI",(Datos!L17-Datos!V17)/Datos!V17,(Datos!L17+Datos!AF17-(Datos!V17+Datos!AN17))/(Datos!V17+Datos!AN17))," - ")</f>
        <v>2.8792134831460675E-2</v>
      </c>
      <c r="H17" s="230">
        <f>IF(ISNUMBER((Datos!M17-Datos!W17)/Datos!W17),(Datos!M17-Datos!W17)/Datos!W17," - ")</f>
        <v>0.35353535353535354</v>
      </c>
      <c r="I17" s="350">
        <f>IF(ISNUMBER((Tasas!C17-Datos!BE17)/Datos!BE17),(Tasas!C17-Datos!BE17)/Datos!BE17," - ")</f>
        <v>-2.0727329418776537E-2</v>
      </c>
      <c r="J17" s="349">
        <f>IF(ISNUMBER((Tasas!D17-Datos!BF17)/Datos!BF17),(Tasas!D17-Datos!BF17)/Datos!BF17," - ")</f>
        <v>0.28838483062451631</v>
      </c>
      <c r="K17" s="351">
        <f>IF(ISNUMBER((Tasas!E17-Datos!BG17)/Datos!BG17),(Tasas!E17-Datos!BG17)/Datos!BG17," - ")</f>
        <v>-3.1429217569764405E-2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0.21680031292783103</v>
      </c>
      <c r="E18" s="354">
        <f>IF(ISNUMBER(
   IF(D_I="SI",(Datos!J18-Datos!T18)/Datos!T18,(Datos!J18+Datos!AD18-(Datos!T18+Datos!AL18))/(Datos!T18+Datos!AL18))
     ),IF(D_I="SI",(Datos!J18-Datos!T18)/Datos!T18,(Datos!J18+Datos!AD18-(Datos!T18+Datos!AL18))/(Datos!T18+Datos!AL18))," - ")</f>
        <v>0.15950468540829987</v>
      </c>
      <c r="F18" s="354">
        <f>IF(ISNUMBER(
   IF(D_I="SI",(Datos!K18-Datos!U18)/Datos!U18,(Datos!K18+Datos!AE18-(Datos!U18+Datos!AM18))/(Datos!U18+Datos!AM18))
     ),IF(D_I="SI",(Datos!K18-Datos!U18)/Datos!U18,(Datos!K18+Datos!AE18-(Datos!U18+Datos!AM18))/(Datos!U18+Datos!AM18))," - ")</f>
        <v>0.17802345058626465</v>
      </c>
      <c r="G18" s="355">
        <f>IF(ISNUMBER(
   IF(D_I="SI",(Datos!L18-Datos!V18)/Datos!V18,(Datos!L18+Datos!AF18-(Datos!V18+Datos!AN18))/(Datos!V18+Datos!AN18))
     ),IF(D_I="SI",(Datos!L18-Datos!V18)/Datos!V18,(Datos!L18+Datos!AF18-(Datos!V18+Datos!AN18))/(Datos!V18+Datos!AN18))," - ")</f>
        <v>0.17347710934544078</v>
      </c>
      <c r="H18" s="356">
        <f>IF(ISNUMBER((Datos!M18-Datos!W18)/Datos!W18),(Datos!M18-Datos!W18)/Datos!W18," - ")</f>
        <v>0.1501723289020187</v>
      </c>
      <c r="I18" s="357">
        <f>IF(ISNUMBER((Tasas!C18-Datos!BE18)/Datos!BE18),(Tasas!C18-Datos!BE18)/Datos!BE18," - ")</f>
        <v>-3.859296042503518E-3</v>
      </c>
      <c r="J18" s="355">
        <f>IF(ISNUMBER((Tasas!D18-Datos!BF18)/Datos!BF18),(Tasas!D18-Datos!BF18)/Datos!BF18," - ")</f>
        <v>-2.3642247249310151E-2</v>
      </c>
      <c r="K18" s="358">
        <f>IF(ISNUMBER((Tasas!E18-Datos!BG18)/Datos!BG18),(Tasas!E18-Datos!BG18)/Datos!BG18," - ")</f>
        <v>4.0430845295755871E-3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7.9113582379615632E-2</v>
      </c>
      <c r="E19" s="363">
        <f>IF(ISNUMBER(
   IF(J_V="SI",(Datos!J19-Datos!T19)/Datos!T19,(Datos!J19+Datos!Z19-(Datos!T19+Datos!AH19))/(Datos!T19+Datos!AH19))
     ),IF(J_V="SI",(Datos!J19-Datos!T19)/Datos!T19,(Datos!J19+Datos!Z19-(Datos!T19+Datos!AH19))/(Datos!T19+Datos!AH19))," - ")</f>
        <v>0.25766052956866825</v>
      </c>
      <c r="F19" s="363">
        <f>IF(ISNUMBER(
   IF(J_V="SI",(Datos!K19-Datos!U19)/Datos!U19,(Datos!K19+Datos!AA19-(Datos!U19+Datos!AI19))/(Datos!U19+Datos!AI19))
     ),IF(J_V="SI",(Datos!K19-Datos!U19)/Datos!U19,(Datos!K19+Datos!AA19-(Datos!U19+Datos!AI19))/(Datos!U19+Datos!AI19))," - ")</f>
        <v>9.2235843549328664E-2</v>
      </c>
      <c r="G19" s="364">
        <f>IF(ISNUMBER(
   IF(J_V="SI",(Datos!L19-Datos!V19)/Datos!V19,(Datos!L19+Datos!AB19-(Datos!V19+Datos!AJ19))/(Datos!V19+Datos!AJ19))
     ),IF(J_V="SI",(Datos!L19-Datos!V19)/Datos!V19,(Datos!L19+Datos!AB19-(Datos!V19+Datos!AJ19))/(Datos!V19+Datos!AJ19))," - ")</f>
        <v>0.22318139034556944</v>
      </c>
      <c r="H19" s="365">
        <f>IF(ISNUMBER((Datos!M19-Datos!W19)/Datos!W19),(Datos!M19-Datos!W19)/Datos!W19," - ")</f>
        <v>0.17763883780801765</v>
      </c>
      <c r="I19" s="362">
        <f>IF(ISNUMBER((Tasas!C19-Datos!BE19)/Datos!BE19),(Tasas!C19-Datos!BE19)/Datos!BE19," - ")</f>
        <v>0.11988761179153423</v>
      </c>
      <c r="J19" s="363">
        <f>IF(ISNUMBER((Tasas!D19-Datos!BF19)/Datos!BF19),(Tasas!D19-Datos!BF19)/Datos!BF19," - ")</f>
        <v>-0.39209926744707008</v>
      </c>
      <c r="K19" s="364">
        <f>IF(ISNUMBER((Tasas!E19-Datos!BG19)/Datos!BG19),(Tasas!E19-Datos!BG19)/Datos!BG19," - ")</f>
        <v>6.21173210032019E-2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6.0479213651250197E-2</v>
      </c>
      <c r="E21" s="278">
        <f t="shared" si="1"/>
        <v>0.10413577523953402</v>
      </c>
      <c r="F21" s="278">
        <f t="shared" si="1"/>
        <v>6.7717046439285583E-2</v>
      </c>
      <c r="G21" s="279">
        <f t="shared" si="1"/>
        <v>8.6325429008788632E-2</v>
      </c>
      <c r="H21" s="285">
        <f t="shared" si="1"/>
        <v>0.19875188336808422</v>
      </c>
      <c r="I21" s="277">
        <f t="shared" si="1"/>
        <v>0.13751650448045477</v>
      </c>
      <c r="J21" s="278">
        <f t="shared" si="1"/>
        <v>0.37997005293152175</v>
      </c>
      <c r="K21" s="279">
        <f t="shared" si="1"/>
        <v>9.2925185437574165E-2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9X3K/HGEXMXp8E7o4xqQTdQ+DbAmXWSnSa5GwBv+QOLr1uKmH5PjTG4ijWZdadJLOJJRuyzGzF0AKf9RLLH3w==" saltValue="y+arsW2rn6eZrQ2QtPWI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